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2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Z:\SAE Série temporelle\Ali\SAE\"/>
    </mc:Choice>
  </mc:AlternateContent>
  <xr:revisionPtr revIDLastSave="0" documentId="13_ncr:1_{7F619140-A217-4ED0-9D18-3E26678E1DF3}" xr6:coauthVersionLast="47" xr6:coauthVersionMax="47" xr10:uidLastSave="{00000000-0000-0000-0000-000000000000}"/>
  <bookViews>
    <workbookView xWindow="-120" yWindow="-120" windowWidth="25440" windowHeight="15390" activeTab="2" xr2:uid="{50745136-F432-49EB-BB7C-D1F43090D721}"/>
  </bookViews>
  <sheets>
    <sheet name="phaseDesc" sheetId="4" r:id="rId1"/>
    <sheet name="choixModele" sheetId="5" r:id="rId2"/>
    <sheet name="modeleLineaire" sheetId="1" r:id="rId3"/>
    <sheet name="indiceCalcul" sheetId="3" r:id="rId4"/>
  </sheets>
  <definedNames>
    <definedName name="_xlchart.v1.0" hidden="1">phaseDesc!$E$34</definedName>
    <definedName name="_xlchart.v1.1" hidden="1">phaseDesc!$E$35</definedName>
    <definedName name="_xlchart.v1.10" hidden="1">phaseDesc!$E$44</definedName>
    <definedName name="_xlchart.v1.11" hidden="1">phaseDesc!$E$45</definedName>
    <definedName name="_xlchart.v1.12" hidden="1">phaseDesc!$E$46</definedName>
    <definedName name="_xlchart.v1.13" hidden="1">phaseDesc!$F$34:$I$34</definedName>
    <definedName name="_xlchart.v1.14" hidden="1">phaseDesc!$F$35:$I$35</definedName>
    <definedName name="_xlchart.v1.15" hidden="1">phaseDesc!$F$36:$I$36</definedName>
    <definedName name="_xlchart.v1.16" hidden="1">phaseDesc!$F$37:$I$37</definedName>
    <definedName name="_xlchart.v1.17" hidden="1">phaseDesc!$F$38:$I$38</definedName>
    <definedName name="_xlchart.v1.18" hidden="1">phaseDesc!$F$39:$I$39</definedName>
    <definedName name="_xlchart.v1.19" hidden="1">phaseDesc!$F$40:$I$40</definedName>
    <definedName name="_xlchart.v1.2" hidden="1">phaseDesc!$E$36</definedName>
    <definedName name="_xlchart.v1.20" hidden="1">phaseDesc!$F$41:$I$41</definedName>
    <definedName name="_xlchart.v1.21" hidden="1">phaseDesc!$F$42:$I$42</definedName>
    <definedName name="_xlchart.v1.22" hidden="1">phaseDesc!$F$43:$I$43</definedName>
    <definedName name="_xlchart.v1.23" hidden="1">phaseDesc!$F$44:$I$44</definedName>
    <definedName name="_xlchart.v1.24" hidden="1">phaseDesc!$F$45:$I$45</definedName>
    <definedName name="_xlchart.v1.25" hidden="1">phaseDesc!$F$46:$I$46</definedName>
    <definedName name="_xlchart.v1.26" hidden="1">phaseDesc!$F$33</definedName>
    <definedName name="_xlchart.v1.27" hidden="1">phaseDesc!$F$34:$F$46</definedName>
    <definedName name="_xlchart.v1.28" hidden="1">phaseDesc!$G$33</definedName>
    <definedName name="_xlchart.v1.29" hidden="1">phaseDesc!$G$34:$G$46</definedName>
    <definedName name="_xlchart.v1.3" hidden="1">phaseDesc!$E$37</definedName>
    <definedName name="_xlchart.v1.30" hidden="1">phaseDesc!$H$33</definedName>
    <definedName name="_xlchart.v1.31" hidden="1">phaseDesc!$H$34:$H$46</definedName>
    <definedName name="_xlchart.v1.32" hidden="1">phaseDesc!$I$33</definedName>
    <definedName name="_xlchart.v1.33" hidden="1">phaseDesc!$I$34:$I$46</definedName>
    <definedName name="_xlchart.v1.4" hidden="1">phaseDesc!$E$38</definedName>
    <definedName name="_xlchart.v1.5" hidden="1">phaseDesc!$E$39</definedName>
    <definedName name="_xlchart.v1.6" hidden="1">phaseDesc!$E$40</definedName>
    <definedName name="_xlchart.v1.7" hidden="1">phaseDesc!$E$41</definedName>
    <definedName name="_xlchart.v1.8" hidden="1">phaseDesc!$E$42</definedName>
    <definedName name="_xlchart.v1.9" hidden="1">phaseDesc!$E$43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7" i="1" l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46" i="4"/>
  <c r="J35" i="4"/>
  <c r="K35" i="4"/>
  <c r="L35" i="4"/>
  <c r="M35" i="4"/>
  <c r="N35" i="4"/>
  <c r="O35" i="4"/>
  <c r="P35" i="4"/>
  <c r="J36" i="4"/>
  <c r="K36" i="4"/>
  <c r="L36" i="4"/>
  <c r="M36" i="4"/>
  <c r="N36" i="4"/>
  <c r="O36" i="4"/>
  <c r="P36" i="4"/>
  <c r="J37" i="4"/>
  <c r="K37" i="4"/>
  <c r="L37" i="4"/>
  <c r="M37" i="4"/>
  <c r="N37" i="4"/>
  <c r="O37" i="4"/>
  <c r="P37" i="4"/>
  <c r="J38" i="4"/>
  <c r="K38" i="4"/>
  <c r="L38" i="4"/>
  <c r="M38" i="4"/>
  <c r="N38" i="4"/>
  <c r="O38" i="4"/>
  <c r="P38" i="4"/>
  <c r="J39" i="4"/>
  <c r="K39" i="4"/>
  <c r="L39" i="4"/>
  <c r="M39" i="4"/>
  <c r="N39" i="4"/>
  <c r="O39" i="4"/>
  <c r="P39" i="4"/>
  <c r="J40" i="4"/>
  <c r="K40" i="4"/>
  <c r="L40" i="4"/>
  <c r="M40" i="4"/>
  <c r="N40" i="4"/>
  <c r="O40" i="4"/>
  <c r="P40" i="4"/>
  <c r="J41" i="4"/>
  <c r="K41" i="4"/>
  <c r="L41" i="4"/>
  <c r="M41" i="4"/>
  <c r="N41" i="4"/>
  <c r="O41" i="4"/>
  <c r="P41" i="4"/>
  <c r="J42" i="4"/>
  <c r="K42" i="4"/>
  <c r="L42" i="4"/>
  <c r="M42" i="4"/>
  <c r="N42" i="4"/>
  <c r="O42" i="4"/>
  <c r="P42" i="4"/>
  <c r="J43" i="4"/>
  <c r="K43" i="4"/>
  <c r="L43" i="4"/>
  <c r="M43" i="4"/>
  <c r="N43" i="4"/>
  <c r="O43" i="4"/>
  <c r="P43" i="4"/>
  <c r="J44" i="4"/>
  <c r="K44" i="4"/>
  <c r="L44" i="4"/>
  <c r="M44" i="4"/>
  <c r="N44" i="4"/>
  <c r="O44" i="4"/>
  <c r="P44" i="4"/>
  <c r="J45" i="4"/>
  <c r="K45" i="4"/>
  <c r="L45" i="4"/>
  <c r="M45" i="4"/>
  <c r="N45" i="4"/>
  <c r="O45" i="4"/>
  <c r="P45" i="4"/>
  <c r="K46" i="4"/>
  <c r="L46" i="4"/>
  <c r="M46" i="4"/>
  <c r="N46" i="4"/>
  <c r="O46" i="4"/>
  <c r="P46" i="4"/>
  <c r="P34" i="4"/>
  <c r="O34" i="4"/>
  <c r="N34" i="4"/>
  <c r="M34" i="4"/>
  <c r="L34" i="4"/>
  <c r="K34" i="4"/>
  <c r="J34" i="4"/>
  <c r="G21" i="4"/>
  <c r="G22" i="4"/>
  <c r="G23" i="4"/>
  <c r="G24" i="4"/>
  <c r="G25" i="4"/>
  <c r="G26" i="4"/>
  <c r="G27" i="4"/>
  <c r="G28" i="4"/>
  <c r="G29" i="4"/>
  <c r="G30" i="4"/>
  <c r="G31" i="4"/>
  <c r="G20" i="4"/>
  <c r="F20" i="4"/>
  <c r="F21" i="4"/>
  <c r="F22" i="4"/>
  <c r="F23" i="4"/>
  <c r="F24" i="4"/>
  <c r="F25" i="4"/>
  <c r="F26" i="4"/>
  <c r="F27" i="4"/>
  <c r="F28" i="4"/>
  <c r="F29" i="4"/>
  <c r="F30" i="4"/>
  <c r="F31" i="4"/>
  <c r="F19" i="4"/>
  <c r="M4" i="4"/>
  <c r="M3" i="4"/>
  <c r="M2" i="4"/>
  <c r="O3" i="1"/>
  <c r="O4" i="1"/>
  <c r="O5" i="1"/>
  <c r="O6" i="1"/>
  <c r="O7" i="1"/>
  <c r="O8" i="1"/>
  <c r="O9" i="1"/>
  <c r="D9" i="5"/>
  <c r="D3" i="5"/>
  <c r="D4" i="5"/>
  <c r="D5" i="5"/>
  <c r="D6" i="5"/>
  <c r="D7" i="5"/>
  <c r="D8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2" i="5"/>
  <c r="R24" i="5"/>
  <c r="R25" i="5" s="1"/>
  <c r="R3" i="5"/>
  <c r="R9" i="5"/>
  <c r="R8" i="5"/>
  <c r="R7" i="5"/>
  <c r="R6" i="5"/>
  <c r="R5" i="5"/>
  <c r="R4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2" i="5"/>
  <c r="R28" i="5" l="1"/>
  <c r="K7" i="5"/>
  <c r="K2" i="5"/>
  <c r="K47" i="5"/>
  <c r="K41" i="5"/>
  <c r="K35" i="5"/>
  <c r="K29" i="5"/>
  <c r="K23" i="5"/>
  <c r="K17" i="5"/>
  <c r="K11" i="5"/>
  <c r="K5" i="5"/>
  <c r="K52" i="5"/>
  <c r="K46" i="5"/>
  <c r="K40" i="5"/>
  <c r="K34" i="5"/>
  <c r="K28" i="5"/>
  <c r="K22" i="5"/>
  <c r="K16" i="5"/>
  <c r="K10" i="5"/>
  <c r="K4" i="5"/>
  <c r="K51" i="5"/>
  <c r="K45" i="5"/>
  <c r="K39" i="5"/>
  <c r="K33" i="5"/>
  <c r="K27" i="5"/>
  <c r="K21" i="5"/>
  <c r="K15" i="5"/>
  <c r="K9" i="5"/>
  <c r="K3" i="5"/>
  <c r="K48" i="5"/>
  <c r="K42" i="5"/>
  <c r="K36" i="5"/>
  <c r="K30" i="5"/>
  <c r="K24" i="5"/>
  <c r="K18" i="5"/>
  <c r="K12" i="5"/>
  <c r="K6" i="5"/>
  <c r="K50" i="5"/>
  <c r="K44" i="5"/>
  <c r="K38" i="5"/>
  <c r="K32" i="5"/>
  <c r="K26" i="5"/>
  <c r="K20" i="5"/>
  <c r="K14" i="5"/>
  <c r="K8" i="5"/>
  <c r="K49" i="5"/>
  <c r="K43" i="5"/>
  <c r="K37" i="5"/>
  <c r="K31" i="5"/>
  <c r="K25" i="5"/>
  <c r="K19" i="5"/>
  <c r="K13" i="5"/>
  <c r="F3" i="5"/>
  <c r="G3" i="5" s="1"/>
  <c r="F8" i="5"/>
  <c r="G8" i="5" s="1"/>
  <c r="F49" i="5"/>
  <c r="G49" i="5" s="1"/>
  <c r="F43" i="5"/>
  <c r="G43" i="5" s="1"/>
  <c r="F37" i="5"/>
  <c r="G37" i="5" s="1"/>
  <c r="F31" i="5"/>
  <c r="G31" i="5" s="1"/>
  <c r="F25" i="5"/>
  <c r="G25" i="5" s="1"/>
  <c r="F19" i="5"/>
  <c r="G19" i="5" s="1"/>
  <c r="F13" i="5"/>
  <c r="G13" i="5" s="1"/>
  <c r="F7" i="5"/>
  <c r="G7" i="5" s="1"/>
  <c r="F50" i="5"/>
  <c r="G50" i="5" s="1"/>
  <c r="F44" i="5"/>
  <c r="G44" i="5" s="1"/>
  <c r="F38" i="5"/>
  <c r="G38" i="5" s="1"/>
  <c r="F32" i="5"/>
  <c r="G32" i="5" s="1"/>
  <c r="F26" i="5"/>
  <c r="G26" i="5" s="1"/>
  <c r="F20" i="5"/>
  <c r="G20" i="5" s="1"/>
  <c r="F14" i="5"/>
  <c r="G14" i="5" s="1"/>
  <c r="F48" i="5"/>
  <c r="G48" i="5" s="1"/>
  <c r="F42" i="5"/>
  <c r="G42" i="5" s="1"/>
  <c r="F36" i="5"/>
  <c r="G36" i="5" s="1"/>
  <c r="F30" i="5"/>
  <c r="G30" i="5" s="1"/>
  <c r="F24" i="5"/>
  <c r="G24" i="5" s="1"/>
  <c r="F18" i="5"/>
  <c r="G18" i="5" s="1"/>
  <c r="F12" i="5"/>
  <c r="G12" i="5" s="1"/>
  <c r="F6" i="5"/>
  <c r="G6" i="5" s="1"/>
  <c r="F47" i="5"/>
  <c r="G47" i="5" s="1"/>
  <c r="F41" i="5"/>
  <c r="G41" i="5" s="1"/>
  <c r="F35" i="5"/>
  <c r="G35" i="5" s="1"/>
  <c r="F29" i="5"/>
  <c r="G29" i="5" s="1"/>
  <c r="F23" i="5"/>
  <c r="G23" i="5" s="1"/>
  <c r="F17" i="5"/>
  <c r="G17" i="5" s="1"/>
  <c r="F11" i="5"/>
  <c r="G11" i="5" s="1"/>
  <c r="F5" i="5"/>
  <c r="G5" i="5" s="1"/>
  <c r="F2" i="5"/>
  <c r="G2" i="5" s="1"/>
  <c r="F52" i="5"/>
  <c r="G52" i="5" s="1"/>
  <c r="F46" i="5"/>
  <c r="G46" i="5" s="1"/>
  <c r="F40" i="5"/>
  <c r="G40" i="5" s="1"/>
  <c r="F34" i="5"/>
  <c r="G34" i="5" s="1"/>
  <c r="F28" i="5"/>
  <c r="G28" i="5" s="1"/>
  <c r="F22" i="5"/>
  <c r="G22" i="5" s="1"/>
  <c r="F16" i="5"/>
  <c r="G16" i="5" s="1"/>
  <c r="F10" i="5"/>
  <c r="G10" i="5" s="1"/>
  <c r="F4" i="5"/>
  <c r="G4" i="5" s="1"/>
  <c r="F51" i="5"/>
  <c r="G51" i="5" s="1"/>
  <c r="F45" i="5"/>
  <c r="G45" i="5" s="1"/>
  <c r="F39" i="5"/>
  <c r="G39" i="5" s="1"/>
  <c r="F33" i="5"/>
  <c r="G33" i="5" s="1"/>
  <c r="F27" i="5"/>
  <c r="G27" i="5" s="1"/>
  <c r="F21" i="5"/>
  <c r="G21" i="5" s="1"/>
  <c r="F15" i="5"/>
  <c r="G15" i="5" s="1"/>
  <c r="F9" i="5"/>
  <c r="G9" i="5" s="1"/>
  <c r="R26" i="5"/>
  <c r="R27" i="5" s="1"/>
  <c r="I2" i="5" s="1"/>
  <c r="N5" i="5" l="1"/>
  <c r="I4" i="5"/>
  <c r="J4" i="5" s="1"/>
  <c r="I10" i="5"/>
  <c r="J10" i="5" s="1"/>
  <c r="I16" i="5"/>
  <c r="J16" i="5" s="1"/>
  <c r="I22" i="5"/>
  <c r="J22" i="5" s="1"/>
  <c r="I28" i="5"/>
  <c r="J28" i="5" s="1"/>
  <c r="I34" i="5"/>
  <c r="J34" i="5" s="1"/>
  <c r="I40" i="5"/>
  <c r="J40" i="5" s="1"/>
  <c r="I46" i="5"/>
  <c r="J46" i="5" s="1"/>
  <c r="I52" i="5"/>
  <c r="J52" i="5" s="1"/>
  <c r="J2" i="5"/>
  <c r="I5" i="5"/>
  <c r="J5" i="5" s="1"/>
  <c r="I11" i="5"/>
  <c r="J11" i="5" s="1"/>
  <c r="I17" i="5"/>
  <c r="J17" i="5" s="1"/>
  <c r="I23" i="5"/>
  <c r="J23" i="5" s="1"/>
  <c r="I29" i="5"/>
  <c r="J29" i="5" s="1"/>
  <c r="I35" i="5"/>
  <c r="J35" i="5" s="1"/>
  <c r="I47" i="5"/>
  <c r="J47" i="5" s="1"/>
  <c r="I41" i="5"/>
  <c r="J41" i="5" s="1"/>
  <c r="I6" i="5"/>
  <c r="J6" i="5" s="1"/>
  <c r="I12" i="5"/>
  <c r="J12" i="5" s="1"/>
  <c r="I18" i="5"/>
  <c r="J18" i="5" s="1"/>
  <c r="I24" i="5"/>
  <c r="J24" i="5" s="1"/>
  <c r="I30" i="5"/>
  <c r="J30" i="5" s="1"/>
  <c r="I36" i="5"/>
  <c r="J36" i="5" s="1"/>
  <c r="I42" i="5"/>
  <c r="J42" i="5" s="1"/>
  <c r="I48" i="5"/>
  <c r="J48" i="5" s="1"/>
  <c r="I7" i="5"/>
  <c r="J7" i="5" s="1"/>
  <c r="I13" i="5"/>
  <c r="J13" i="5" s="1"/>
  <c r="I19" i="5"/>
  <c r="J19" i="5" s="1"/>
  <c r="I25" i="5"/>
  <c r="J25" i="5" s="1"/>
  <c r="I31" i="5"/>
  <c r="J31" i="5" s="1"/>
  <c r="I37" i="5"/>
  <c r="J37" i="5" s="1"/>
  <c r="I43" i="5"/>
  <c r="J43" i="5" s="1"/>
  <c r="I49" i="5"/>
  <c r="J49" i="5" s="1"/>
  <c r="I8" i="5"/>
  <c r="J8" i="5" s="1"/>
  <c r="I14" i="5"/>
  <c r="J14" i="5" s="1"/>
  <c r="I20" i="5"/>
  <c r="J20" i="5" s="1"/>
  <c r="I26" i="5"/>
  <c r="J26" i="5" s="1"/>
  <c r="I32" i="5"/>
  <c r="J32" i="5" s="1"/>
  <c r="I38" i="5"/>
  <c r="J38" i="5" s="1"/>
  <c r="I44" i="5"/>
  <c r="J44" i="5" s="1"/>
  <c r="I50" i="5"/>
  <c r="J50" i="5" s="1"/>
  <c r="I3" i="5"/>
  <c r="J3" i="5" s="1"/>
  <c r="I9" i="5"/>
  <c r="J9" i="5" s="1"/>
  <c r="I15" i="5"/>
  <c r="J15" i="5" s="1"/>
  <c r="I21" i="5"/>
  <c r="J21" i="5" s="1"/>
  <c r="I27" i="5"/>
  <c r="J27" i="5" s="1"/>
  <c r="I33" i="5"/>
  <c r="J33" i="5" s="1"/>
  <c r="I39" i="5"/>
  <c r="J39" i="5" s="1"/>
  <c r="I45" i="5"/>
  <c r="J45" i="5" s="1"/>
  <c r="I51" i="5"/>
  <c r="J51" i="5" s="1"/>
  <c r="N3" i="5"/>
  <c r="N4" i="5" l="1"/>
  <c r="E3" i="1" l="1"/>
  <c r="E57" i="1"/>
  <c r="E56" i="1"/>
  <c r="E55" i="1"/>
  <c r="E54" i="1"/>
  <c r="E50" i="1"/>
  <c r="E38" i="1"/>
  <c r="E26" i="1"/>
  <c r="E14" i="1"/>
  <c r="E49" i="1"/>
  <c r="E37" i="1"/>
  <c r="E25" i="1"/>
  <c r="E13" i="1"/>
  <c r="E48" i="1"/>
  <c r="E36" i="1"/>
  <c r="E24" i="1"/>
  <c r="E12" i="1"/>
  <c r="E47" i="1"/>
  <c r="E35" i="1"/>
  <c r="E23" i="1"/>
  <c r="E11" i="1"/>
  <c r="E46" i="1"/>
  <c r="E34" i="1"/>
  <c r="E22" i="1"/>
  <c r="E10" i="1"/>
  <c r="E45" i="1"/>
  <c r="E33" i="1"/>
  <c r="E21" i="1"/>
  <c r="E9" i="1"/>
  <c r="E44" i="1"/>
  <c r="E32" i="1"/>
  <c r="E20" i="1"/>
  <c r="E8" i="1"/>
  <c r="E43" i="1"/>
  <c r="E31" i="1"/>
  <c r="E19" i="1"/>
  <c r="E7" i="1"/>
  <c r="E2" i="1"/>
  <c r="E42" i="1"/>
  <c r="E30" i="1"/>
  <c r="E18" i="1"/>
  <c r="E6" i="1"/>
  <c r="E53" i="1"/>
  <c r="E41" i="1"/>
  <c r="E29" i="1"/>
  <c r="E17" i="1"/>
  <c r="E5" i="1"/>
  <c r="E52" i="1"/>
  <c r="E40" i="1"/>
  <c r="E28" i="1"/>
  <c r="E16" i="1"/>
  <c r="E4" i="1"/>
  <c r="E51" i="1"/>
  <c r="E39" i="1"/>
  <c r="E27" i="1"/>
  <c r="E15" i="1"/>
  <c r="F39" i="1" l="1"/>
  <c r="F52" i="1"/>
  <c r="F6" i="1"/>
  <c r="F19" i="1"/>
  <c r="F44" i="1"/>
  <c r="F22" i="1"/>
  <c r="F47" i="1"/>
  <c r="F25" i="1"/>
  <c r="F50" i="1"/>
  <c r="F51" i="1"/>
  <c r="F5" i="1"/>
  <c r="F18" i="1"/>
  <c r="F31" i="1"/>
  <c r="F9" i="1"/>
  <c r="F34" i="1"/>
  <c r="F12" i="1"/>
  <c r="F37" i="1"/>
  <c r="F4" i="1"/>
  <c r="F17" i="1"/>
  <c r="F30" i="1"/>
  <c r="F43" i="1"/>
  <c r="F21" i="1"/>
  <c r="F46" i="1"/>
  <c r="F24" i="1"/>
  <c r="F49" i="1"/>
  <c r="F16" i="1"/>
  <c r="F29" i="1"/>
  <c r="F42" i="1"/>
  <c r="F8" i="1"/>
  <c r="F33" i="1"/>
  <c r="F11" i="1"/>
  <c r="F36" i="1"/>
  <c r="F14" i="1"/>
  <c r="F15" i="1"/>
  <c r="F28" i="1"/>
  <c r="F41" i="1"/>
  <c r="F2" i="1"/>
  <c r="F20" i="1"/>
  <c r="F45" i="1"/>
  <c r="F23" i="1"/>
  <c r="F48" i="1"/>
  <c r="F26" i="1"/>
  <c r="F27" i="1"/>
  <c r="F40" i="1"/>
  <c r="F7" i="1"/>
  <c r="F32" i="1"/>
  <c r="F10" i="1"/>
  <c r="F35" i="1"/>
  <c r="F13" i="1"/>
  <c r="F38" i="1"/>
  <c r="F3" i="1"/>
  <c r="G25" i="1" l="1"/>
  <c r="G33" i="1"/>
  <c r="G41" i="1"/>
  <c r="G13" i="1"/>
  <c r="G57" i="1"/>
  <c r="G21" i="1"/>
  <c r="G29" i="1"/>
  <c r="G5" i="1"/>
  <c r="G9" i="1"/>
  <c r="G37" i="1"/>
  <c r="G45" i="1"/>
  <c r="G17" i="1"/>
  <c r="G53" i="1"/>
  <c r="G49" i="1"/>
  <c r="G11" i="1"/>
  <c r="G47" i="1"/>
  <c r="G19" i="1"/>
  <c r="G55" i="1"/>
  <c r="G35" i="1"/>
  <c r="G7" i="1"/>
  <c r="G15" i="1"/>
  <c r="G43" i="1"/>
  <c r="G51" i="1"/>
  <c r="G23" i="1"/>
  <c r="G31" i="1"/>
  <c r="G39" i="1"/>
  <c r="G3" i="1"/>
  <c r="G27" i="1"/>
  <c r="G14" i="1"/>
  <c r="G26" i="1"/>
  <c r="G38" i="1"/>
  <c r="G50" i="1"/>
  <c r="G18" i="1"/>
  <c r="G54" i="1"/>
  <c r="G2" i="1"/>
  <c r="G34" i="1"/>
  <c r="G42" i="1"/>
  <c r="G22" i="1"/>
  <c r="G30" i="1"/>
  <c r="G10" i="1"/>
  <c r="G46" i="1"/>
  <c r="G6" i="1"/>
  <c r="G8" i="1"/>
  <c r="G20" i="1"/>
  <c r="G32" i="1"/>
  <c r="G44" i="1"/>
  <c r="G56" i="1"/>
  <c r="G40" i="1"/>
  <c r="G12" i="1"/>
  <c r="G36" i="1"/>
  <c r="G16" i="1"/>
  <c r="G52" i="1"/>
  <c r="G4" i="1"/>
  <c r="G24" i="1"/>
  <c r="G48" i="1"/>
  <c r="G28" i="1"/>
  <c r="H13" i="1" l="1"/>
  <c r="I13" i="1" s="1"/>
  <c r="H25" i="1"/>
  <c r="I25" i="1" s="1"/>
  <c r="H49" i="1"/>
  <c r="I49" i="1" s="1"/>
  <c r="H5" i="1"/>
  <c r="J5" i="1" s="1"/>
  <c r="K5" i="1" s="1"/>
  <c r="H17" i="1"/>
  <c r="I17" i="1" s="1"/>
  <c r="H29" i="1"/>
  <c r="J29" i="1" s="1"/>
  <c r="K29" i="1" s="1"/>
  <c r="H41" i="1"/>
  <c r="J41" i="1" s="1"/>
  <c r="K41" i="1" s="1"/>
  <c r="H53" i="1"/>
  <c r="J53" i="1" s="1"/>
  <c r="H9" i="1"/>
  <c r="J9" i="1" s="1"/>
  <c r="K9" i="1" s="1"/>
  <c r="H21" i="1"/>
  <c r="I21" i="1" s="1"/>
  <c r="H33" i="1"/>
  <c r="I33" i="1" s="1"/>
  <c r="H45" i="1"/>
  <c r="I45" i="1" s="1"/>
  <c r="H57" i="1"/>
  <c r="J57" i="1" s="1"/>
  <c r="H37" i="1"/>
  <c r="I37" i="1" s="1"/>
  <c r="H12" i="1"/>
  <c r="J12" i="1" s="1"/>
  <c r="K12" i="1" s="1"/>
  <c r="H24" i="1"/>
  <c r="J24" i="1" s="1"/>
  <c r="K24" i="1" s="1"/>
  <c r="H36" i="1"/>
  <c r="J36" i="1" s="1"/>
  <c r="K36" i="1" s="1"/>
  <c r="H48" i="1"/>
  <c r="I48" i="1" s="1"/>
  <c r="H4" i="1"/>
  <c r="I4" i="1" s="1"/>
  <c r="H16" i="1"/>
  <c r="I16" i="1" s="1"/>
  <c r="H28" i="1"/>
  <c r="I28" i="1" s="1"/>
  <c r="H40" i="1"/>
  <c r="J40" i="1" s="1"/>
  <c r="K40" i="1" s="1"/>
  <c r="H52" i="1"/>
  <c r="I52" i="1" s="1"/>
  <c r="H8" i="1"/>
  <c r="J8" i="1" s="1"/>
  <c r="K8" i="1" s="1"/>
  <c r="H20" i="1"/>
  <c r="I20" i="1" s="1"/>
  <c r="H32" i="1"/>
  <c r="J32" i="1" s="1"/>
  <c r="K32" i="1" s="1"/>
  <c r="H44" i="1"/>
  <c r="I44" i="1" s="1"/>
  <c r="H56" i="1"/>
  <c r="I56" i="1" s="1"/>
  <c r="H3" i="1"/>
  <c r="I3" i="1" s="1"/>
  <c r="H15" i="1"/>
  <c r="H27" i="1"/>
  <c r="I27" i="1" s="1"/>
  <c r="H39" i="1"/>
  <c r="I39" i="1" s="1"/>
  <c r="H51" i="1"/>
  <c r="I51" i="1" s="1"/>
  <c r="H7" i="1"/>
  <c r="I7" i="1" s="1"/>
  <c r="H19" i="1"/>
  <c r="I19" i="1" s="1"/>
  <c r="H31" i="1"/>
  <c r="J31" i="1" s="1"/>
  <c r="K31" i="1" s="1"/>
  <c r="H43" i="1"/>
  <c r="J43" i="1" s="1"/>
  <c r="K43" i="1" s="1"/>
  <c r="H55" i="1"/>
  <c r="I55" i="1" s="1"/>
  <c r="H11" i="1"/>
  <c r="I11" i="1" s="1"/>
  <c r="H23" i="1"/>
  <c r="J23" i="1" s="1"/>
  <c r="K23" i="1" s="1"/>
  <c r="H35" i="1"/>
  <c r="I35" i="1" s="1"/>
  <c r="H47" i="1"/>
  <c r="I47" i="1" s="1"/>
  <c r="H2" i="1"/>
  <c r="I2" i="1" s="1"/>
  <c r="H14" i="1"/>
  <c r="I14" i="1" s="1"/>
  <c r="H26" i="1"/>
  <c r="J26" i="1" s="1"/>
  <c r="K26" i="1" s="1"/>
  <c r="H38" i="1"/>
  <c r="I38" i="1" s="1"/>
  <c r="H50" i="1"/>
  <c r="I50" i="1" s="1"/>
  <c r="H6" i="1"/>
  <c r="I6" i="1" s="1"/>
  <c r="H18" i="1"/>
  <c r="I18" i="1" s="1"/>
  <c r="H30" i="1"/>
  <c r="I30" i="1" s="1"/>
  <c r="H42" i="1"/>
  <c r="J42" i="1" s="1"/>
  <c r="K42" i="1" s="1"/>
  <c r="H54" i="1"/>
  <c r="J54" i="1" s="1"/>
  <c r="H10" i="1"/>
  <c r="J10" i="1" s="1"/>
  <c r="K10" i="1" s="1"/>
  <c r="H22" i="1"/>
  <c r="I22" i="1" s="1"/>
  <c r="H46" i="1"/>
  <c r="I46" i="1" s="1"/>
  <c r="H34" i="1"/>
  <c r="I34" i="1" s="1"/>
  <c r="I15" i="1"/>
  <c r="J15" i="1"/>
  <c r="K15" i="1" s="1"/>
  <c r="I29" i="1"/>
  <c r="J25" i="1" l="1"/>
  <c r="K25" i="1" s="1"/>
  <c r="I53" i="1"/>
  <c r="J48" i="1"/>
  <c r="K48" i="1" s="1"/>
  <c r="I41" i="1"/>
  <c r="J13" i="1"/>
  <c r="K13" i="1" s="1"/>
  <c r="I57" i="1"/>
  <c r="I43" i="1"/>
  <c r="I26" i="1"/>
  <c r="J16" i="1"/>
  <c r="K16" i="1" s="1"/>
  <c r="I9" i="1"/>
  <c r="J4" i="1"/>
  <c r="K4" i="1" s="1"/>
  <c r="J27" i="1"/>
  <c r="K27" i="1" s="1"/>
  <c r="J30" i="1"/>
  <c r="K30" i="1" s="1"/>
  <c r="J11" i="1"/>
  <c r="K11" i="1" s="1"/>
  <c r="J17" i="1"/>
  <c r="K17" i="1" s="1"/>
  <c r="J2" i="1"/>
  <c r="K2" i="1" s="1"/>
  <c r="J3" i="1"/>
  <c r="K3" i="1" s="1"/>
  <c r="I32" i="1"/>
  <c r="J37" i="1"/>
  <c r="K37" i="1" s="1"/>
  <c r="J51" i="1"/>
  <c r="K51" i="1" s="1"/>
  <c r="J56" i="1"/>
  <c r="I12" i="1"/>
  <c r="J18" i="1"/>
  <c r="K18" i="1" s="1"/>
  <c r="I54" i="1"/>
  <c r="I24" i="1"/>
  <c r="J49" i="1"/>
  <c r="K49" i="1" s="1"/>
  <c r="J44" i="1"/>
  <c r="K44" i="1" s="1"/>
  <c r="I42" i="1"/>
  <c r="I5" i="1"/>
  <c r="J20" i="1"/>
  <c r="K20" i="1" s="1"/>
  <c r="I10" i="1"/>
  <c r="I23" i="1"/>
  <c r="J39" i="1"/>
  <c r="K39" i="1" s="1"/>
  <c r="J47" i="1"/>
  <c r="K47" i="1" s="1"/>
  <c r="J46" i="1"/>
  <c r="K46" i="1" s="1"/>
  <c r="J14" i="1"/>
  <c r="K14" i="1" s="1"/>
  <c r="I40" i="1"/>
  <c r="J34" i="1"/>
  <c r="K34" i="1" s="1"/>
  <c r="J22" i="1"/>
  <c r="K22" i="1" s="1"/>
  <c r="J28" i="1"/>
  <c r="K28" i="1" s="1"/>
  <c r="J21" i="1"/>
  <c r="K21" i="1" s="1"/>
  <c r="J35" i="1"/>
  <c r="K35" i="1" s="1"/>
  <c r="I8" i="1"/>
  <c r="I31" i="1"/>
  <c r="I36" i="1"/>
  <c r="J7" i="1"/>
  <c r="K7" i="1" s="1"/>
  <c r="J55" i="1"/>
  <c r="J50" i="1"/>
  <c r="K50" i="1" s="1"/>
  <c r="J38" i="1"/>
  <c r="K38" i="1" s="1"/>
  <c r="J6" i="1"/>
  <c r="K6" i="1" s="1"/>
  <c r="J52" i="1"/>
  <c r="K52" i="1" s="1"/>
  <c r="J19" i="1"/>
  <c r="K19" i="1" s="1"/>
  <c r="J33" i="1"/>
  <c r="K33" i="1" s="1"/>
  <c r="J45" i="1"/>
  <c r="K45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2DE9E91-9DBF-4E7B-98A3-72E2D70A939E}" keepAlive="1" name="Requête - DP_LIVE_29112022105821198" description="Connexion à la requête « DP_LIVE_29112022105821198 » dans le classeur." type="5" refreshedVersion="7" background="1" saveData="1">
    <dbPr connection="Provider=Microsoft.Mashup.OleDb.1;Data Source=$Workbook$;Location=DP_LIVE_29112022105821198;Extended Properties=&quot;&quot;" command="SELECT * FROM [DP_LIVE_29112022105821198]"/>
  </connection>
</connections>
</file>

<file path=xl/sharedStrings.xml><?xml version="1.0" encoding="utf-8"?>
<sst xmlns="http://schemas.openxmlformats.org/spreadsheetml/2006/main" count="249" uniqueCount="61">
  <si>
    <t>t</t>
  </si>
  <si>
    <t>annee</t>
  </si>
  <si>
    <t>Trimestre</t>
  </si>
  <si>
    <t>Indicateurs</t>
  </si>
  <si>
    <t>Cov(y, t)</t>
  </si>
  <si>
    <t>Moy(y)</t>
  </si>
  <si>
    <t>Moy(t)</t>
  </si>
  <si>
    <t>Var(y)</t>
  </si>
  <si>
    <t>Var(t)</t>
  </si>
  <si>
    <t>a</t>
  </si>
  <si>
    <t>b</t>
  </si>
  <si>
    <t>Valeurs</t>
  </si>
  <si>
    <t>ft</t>
  </si>
  <si>
    <t>Q1</t>
  </si>
  <si>
    <t>Q2</t>
  </si>
  <si>
    <t>Q3</t>
  </si>
  <si>
    <t>Q4</t>
  </si>
  <si>
    <t>st</t>
  </si>
  <si>
    <t>yt</t>
  </si>
  <si>
    <t>St</t>
  </si>
  <si>
    <t>S't</t>
  </si>
  <si>
    <t>CVS</t>
  </si>
  <si>
    <t>ŷ</t>
  </si>
  <si>
    <t>et²</t>
  </si>
  <si>
    <t>ln(y)</t>
  </si>
  <si>
    <t>Modèle linéaire</t>
  </si>
  <si>
    <t>Modèle exponentielle</t>
  </si>
  <si>
    <t>Cov(z, t)</t>
  </si>
  <si>
    <t>c (Cov(z,t)/V(t)</t>
  </si>
  <si>
    <t>b (ln(d))</t>
  </si>
  <si>
    <t>d</t>
  </si>
  <si>
    <t>R²</t>
  </si>
  <si>
    <t>Linéaire</t>
  </si>
  <si>
    <t>Expo</t>
  </si>
  <si>
    <t>Quadra</t>
  </si>
  <si>
    <t>t²</t>
  </si>
  <si>
    <t>et² (expo)</t>
  </si>
  <si>
    <t>et² (lineaire)</t>
  </si>
  <si>
    <t>et² (quadra)</t>
  </si>
  <si>
    <r>
      <t>ln(</t>
    </r>
    <r>
      <rPr>
        <b/>
        <sz val="12"/>
        <color rgb="FFFF0000"/>
        <rFont val="Calibri"/>
        <family val="2"/>
      </rPr>
      <t>ŷ)</t>
    </r>
  </si>
  <si>
    <t>Étiquettes de lignes</t>
  </si>
  <si>
    <t>Total général</t>
  </si>
  <si>
    <t>Étiquettes de colonnes</t>
  </si>
  <si>
    <t>Prévisions</t>
  </si>
  <si>
    <t>-</t>
  </si>
  <si>
    <t>Somme des Valeurs</t>
  </si>
  <si>
    <t>Moyenne des valeurs</t>
  </si>
  <si>
    <t>Ecart-type des valeurs</t>
  </si>
  <si>
    <t>Coefficient de variation</t>
  </si>
  <si>
    <t>Moyenne des valeurs par année</t>
  </si>
  <si>
    <t>Taux de croissance</t>
  </si>
  <si>
    <t>Année</t>
  </si>
  <si>
    <t>Minimum</t>
  </si>
  <si>
    <t>Maximum</t>
  </si>
  <si>
    <t>Moyenne</t>
  </si>
  <si>
    <t>Ecart-type</t>
  </si>
  <si>
    <t>Trimestre 1</t>
  </si>
  <si>
    <t>Trimestre 2</t>
  </si>
  <si>
    <t>Trimestre 3</t>
  </si>
  <si>
    <t>Trimestre 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</si>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</sst>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Calibri"/>
      <family val="2"/>
      <scheme val="minor"/>
    </font>
    <font>
      <b/>
      <sz val="12"/>
      <color rgb="FFFF000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2" fontId="0" fillId="0" borderId="0" xfId="0" applyNumberFormat="1"/>
    <xf numFmtId="0" fontId="4" fillId="0" borderId="3" xfId="0" applyFont="1" applyBorder="1" applyAlignment="1">
      <alignment horizontal="center" vertical="center"/>
    </xf>
    <xf numFmtId="2" fontId="0" fillId="0" borderId="4" xfId="0" applyNumberFormat="1" applyBorder="1"/>
    <xf numFmtId="0" fontId="4" fillId="0" borderId="5" xfId="0" applyFont="1" applyBorder="1" applyAlignment="1">
      <alignment horizontal="center" vertical="center"/>
    </xf>
    <xf numFmtId="2" fontId="0" fillId="0" borderId="6" xfId="0" applyNumberForma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0" borderId="0" xfId="0" applyFill="1"/>
    <xf numFmtId="0" fontId="4" fillId="7" borderId="3" xfId="0" applyFont="1" applyFill="1" applyBorder="1" applyAlignment="1">
      <alignment horizontal="center" vertical="center"/>
    </xf>
    <xf numFmtId="2" fontId="0" fillId="7" borderId="4" xfId="0" applyNumberFormat="1" applyFill="1" applyBorder="1"/>
    <xf numFmtId="0" fontId="4" fillId="7" borderId="5" xfId="0" applyFont="1" applyFill="1" applyBorder="1" applyAlignment="1">
      <alignment horizontal="center" vertical="center"/>
    </xf>
    <xf numFmtId="2" fontId="0" fillId="7" borderId="6" xfId="0" applyNumberFormat="1" applyFill="1" applyBorder="1"/>
    <xf numFmtId="164" fontId="0" fillId="7" borderId="6" xfId="0" applyNumberFormat="1" applyFill="1" applyBorder="1"/>
    <xf numFmtId="0" fontId="5" fillId="6" borderId="10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2" fontId="5" fillId="6" borderId="11" xfId="0" applyNumberFormat="1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0" fillId="0" borderId="9" xfId="0" applyBorder="1"/>
    <xf numFmtId="0" fontId="0" fillId="4" borderId="9" xfId="0" applyFill="1" applyBorder="1"/>
    <xf numFmtId="2" fontId="0" fillId="0" borderId="9" xfId="1" applyNumberFormat="1" applyFont="1" applyBorder="1"/>
    <xf numFmtId="2" fontId="0" fillId="0" borderId="9" xfId="0" applyNumberFormat="1" applyBorder="1"/>
    <xf numFmtId="2" fontId="0" fillId="0" borderId="9" xfId="0" applyNumberFormat="1" applyFill="1" applyBorder="1"/>
    <xf numFmtId="2" fontId="0" fillId="5" borderId="9" xfId="0" applyNumberFormat="1" applyFill="1" applyBorder="1"/>
    <xf numFmtId="2" fontId="0" fillId="4" borderId="9" xfId="0" applyNumberForma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6" borderId="9" xfId="0" applyFont="1" applyFill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3" xfId="0" applyBorder="1"/>
    <xf numFmtId="10" fontId="0" fillId="0" borderId="4" xfId="1" applyNumberFormat="1" applyFont="1" applyBorder="1"/>
    <xf numFmtId="2" fontId="0" fillId="0" borderId="15" xfId="0" applyNumberFormat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0" fillId="0" borderId="16" xfId="0" applyBorder="1"/>
    <xf numFmtId="0" fontId="0" fillId="8" borderId="18" xfId="0" applyFill="1" applyBorder="1"/>
    <xf numFmtId="0" fontId="0" fillId="8" borderId="19" xfId="0" applyFill="1" applyBorder="1"/>
    <xf numFmtId="0" fontId="0" fillId="0" borderId="9" xfId="0" applyBorder="1" applyAlignment="1">
      <alignment vertical="center"/>
    </xf>
    <xf numFmtId="0" fontId="0" fillId="0" borderId="9" xfId="0" applyFill="1" applyBorder="1"/>
    <xf numFmtId="2" fontId="0" fillId="0" borderId="20" xfId="0" applyNumberFormat="1" applyBorder="1"/>
    <xf numFmtId="2" fontId="0" fillId="0" borderId="20" xfId="1" applyNumberFormat="1" applyFont="1" applyBorder="1"/>
    <xf numFmtId="0" fontId="0" fillId="0" borderId="20" xfId="0" applyBorder="1"/>
    <xf numFmtId="0" fontId="0" fillId="8" borderId="13" xfId="0" applyFill="1" applyBorder="1"/>
    <xf numFmtId="0" fontId="5" fillId="6" borderId="24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5" fillId="9" borderId="25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0" fillId="7" borderId="21" xfId="0" applyFill="1" applyBorder="1"/>
    <xf numFmtId="0" fontId="0" fillId="7" borderId="22" xfId="0" applyFill="1" applyBorder="1"/>
    <xf numFmtId="2" fontId="0" fillId="7" borderId="22" xfId="0" applyNumberFormat="1" applyFill="1" applyBorder="1"/>
    <xf numFmtId="2" fontId="0" fillId="7" borderId="23" xfId="0" applyNumberFormat="1" applyFill="1" applyBorder="1"/>
    <xf numFmtId="0" fontId="0" fillId="7" borderId="3" xfId="0" applyFill="1" applyBorder="1"/>
    <xf numFmtId="0" fontId="0" fillId="7" borderId="9" xfId="0" applyFill="1" applyBorder="1"/>
    <xf numFmtId="2" fontId="0" fillId="7" borderId="9" xfId="0" applyNumberFormat="1" applyFill="1" applyBorder="1"/>
    <xf numFmtId="0" fontId="0" fillId="7" borderId="5" xfId="0" applyFill="1" applyBorder="1"/>
    <xf numFmtId="0" fontId="0" fillId="7" borderId="15" xfId="0" applyFill="1" applyBorder="1"/>
    <xf numFmtId="2" fontId="0" fillId="7" borderId="15" xfId="0" applyNumberFormat="1" applyFill="1" applyBorder="1"/>
    <xf numFmtId="0" fontId="0" fillId="7" borderId="16" xfId="0" applyFill="1" applyBorder="1"/>
    <xf numFmtId="0" fontId="0" fillId="7" borderId="4" xfId="0" applyFill="1" applyBorder="1" applyAlignment="1">
      <alignment horizontal="center" vertical="center"/>
    </xf>
    <xf numFmtId="2" fontId="0" fillId="7" borderId="9" xfId="0" applyNumberFormat="1" applyFill="1" applyBorder="1" applyAlignment="1">
      <alignment horizontal="center" vertical="center"/>
    </xf>
    <xf numFmtId="10" fontId="0" fillId="7" borderId="4" xfId="1" applyNumberFormat="1" applyFont="1" applyFill="1" applyBorder="1"/>
    <xf numFmtId="0" fontId="0" fillId="7" borderId="17" xfId="0" applyFill="1" applyBorder="1"/>
    <xf numFmtId="10" fontId="0" fillId="7" borderId="6" xfId="1" applyNumberFormat="1" applyFont="1" applyFill="1" applyBorder="1"/>
    <xf numFmtId="0" fontId="7" fillId="0" borderId="9" xfId="0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2" fontId="0" fillId="0" borderId="14" xfId="0" applyNumberFormat="1" applyBorder="1"/>
    <xf numFmtId="0" fontId="0" fillId="0" borderId="2" xfId="0" applyBorder="1"/>
    <xf numFmtId="0" fontId="0" fillId="0" borderId="4" xfId="0" applyBorder="1"/>
    <xf numFmtId="0" fontId="0" fillId="0" borderId="1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0" fillId="2" borderId="9" xfId="0" applyNumberFormat="1" applyFill="1" applyBorder="1"/>
    <xf numFmtId="0" fontId="0" fillId="2" borderId="4" xfId="0" applyFill="1" applyBorder="1"/>
    <xf numFmtId="2" fontId="0" fillId="2" borderId="15" xfId="0" applyNumberFormat="1" applyFill="1" applyBorder="1"/>
    <xf numFmtId="0" fontId="0" fillId="2" borderId="6" xfId="0" applyFill="1" applyBorder="1"/>
    <xf numFmtId="0" fontId="8" fillId="2" borderId="30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39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de la moyenne des valeurs par année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phaseDesc!$E$19:$E$31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phaseDesc!$F$19:$F$31</c:f>
              <c:numCache>
                <c:formatCode>0.00</c:formatCode>
                <c:ptCount val="13"/>
                <c:pt idx="0">
                  <c:v>84.182797499999992</c:v>
                </c:pt>
                <c:pt idx="1">
                  <c:v>90.443069999999992</c:v>
                </c:pt>
                <c:pt idx="2">
                  <c:v>84.379540000000006</c:v>
                </c:pt>
                <c:pt idx="3">
                  <c:v>88.903429999999986</c:v>
                </c:pt>
                <c:pt idx="4">
                  <c:v>102.07985249999999</c:v>
                </c:pt>
                <c:pt idx="5">
                  <c:v>99.999987499999989</c:v>
                </c:pt>
                <c:pt idx="6">
                  <c:v>97.914680000000004</c:v>
                </c:pt>
                <c:pt idx="7">
                  <c:v>108.431825</c:v>
                </c:pt>
                <c:pt idx="8">
                  <c:v>109.70477500000001</c:v>
                </c:pt>
                <c:pt idx="9">
                  <c:v>113.81637499999999</c:v>
                </c:pt>
                <c:pt idx="10">
                  <c:v>111.79745</c:v>
                </c:pt>
                <c:pt idx="11">
                  <c:v>138.16385</c:v>
                </c:pt>
                <c:pt idx="12">
                  <c:v>142.24443333333332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21-40B9-89BE-01E3658E5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5877983"/>
        <c:axId val="2075897951"/>
      </c:lineChart>
      <c:catAx>
        <c:axId val="2075877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5897951"/>
        <c:crosses val="autoZero"/>
        <c:auto val="1"/>
        <c:lblAlgn val="ctr"/>
        <c:lblOffset val="100"/>
        <c:noMultiLvlLbl val="0"/>
      </c:catAx>
      <c:valAx>
        <c:axId val="2075897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5877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Taux de croissance par année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phaseDesc!$E$19:$E$31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phaseDesc!$G$19:$G$31</c:f>
              <c:numCache>
                <c:formatCode>0.00%</c:formatCode>
                <c:ptCount val="13"/>
                <c:pt idx="0" formatCode="General">
                  <c:v>0</c:v>
                </c:pt>
                <c:pt idx="1">
                  <c:v>7.4365222894855684E-2</c:v>
                </c:pt>
                <c:pt idx="2">
                  <c:v>-6.7042505301953881E-2</c:v>
                </c:pt>
                <c:pt idx="3">
                  <c:v>5.3613589265833636E-2</c:v>
                </c:pt>
                <c:pt idx="4">
                  <c:v>0.14821050773856534</c:v>
                </c:pt>
                <c:pt idx="5">
                  <c:v>-2.0374882497013781E-2</c:v>
                </c:pt>
                <c:pt idx="6">
                  <c:v>-2.0853077606634549E-2</c:v>
                </c:pt>
                <c:pt idx="7">
                  <c:v>0.10741131973264886</c:v>
                </c:pt>
                <c:pt idx="8">
                  <c:v>1.1739634558396566E-2</c:v>
                </c:pt>
                <c:pt idx="9">
                  <c:v>3.7478769725383249E-2</c:v>
                </c:pt>
                <c:pt idx="10">
                  <c:v>-1.773844053634634E-2</c:v>
                </c:pt>
                <c:pt idx="11">
                  <c:v>0.23584079958889939</c:v>
                </c:pt>
                <c:pt idx="12">
                  <c:v>2.9534377721331034E-2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30-4126-B159-528A1741B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75895871"/>
        <c:axId val="2075899199"/>
      </c:barChart>
      <c:catAx>
        <c:axId val="2075895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5899199"/>
        <c:crosses val="autoZero"/>
        <c:auto val="1"/>
        <c:lblAlgn val="ctr"/>
        <c:lblOffset val="100"/>
        <c:noMultiLvlLbl val="0"/>
      </c:catAx>
      <c:valAx>
        <c:axId val="2075899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58958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des valeurs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phaseDesc!$C$1</c:f>
              <c:strCache>
                <c:ptCount val="1"/>
                <c:pt idx="0">
                  <c:v>Valeurs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phaseDesc!$A$2:$B$52</c:f>
              <c:multiLvlStrCache>
                <c:ptCount val="5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  <c:pt idx="39">
                    <c:v>Q4</c:v>
                  </c:pt>
                  <c:pt idx="40">
                    <c:v>Q1</c:v>
                  </c:pt>
                  <c:pt idx="41">
                    <c:v>Q2</c:v>
                  </c:pt>
                  <c:pt idx="42">
                    <c:v>Q3</c:v>
                  </c:pt>
                  <c:pt idx="43">
                    <c:v>Q4</c:v>
                  </c:pt>
                  <c:pt idx="44">
                    <c:v>Q1</c:v>
                  </c:pt>
                  <c:pt idx="45">
                    <c:v>Q2</c:v>
                  </c:pt>
                  <c:pt idx="46">
                    <c:v>Q3</c:v>
                  </c:pt>
                  <c:pt idx="47">
                    <c:v>Q4</c:v>
                  </c:pt>
                  <c:pt idx="48">
                    <c:v>Q1</c:v>
                  </c:pt>
                  <c:pt idx="49">
                    <c:v>Q2</c:v>
                  </c:pt>
                  <c:pt idx="50">
                    <c:v>Q3</c:v>
                  </c:pt>
                </c:lvl>
                <c:lvl>
                  <c:pt idx="0">
                    <c:v>2010</c:v>
                  </c:pt>
                  <c:pt idx="1">
                    <c:v>2010</c:v>
                  </c:pt>
                  <c:pt idx="2">
                    <c:v>2010</c:v>
                  </c:pt>
                  <c:pt idx="3">
                    <c:v>2010</c:v>
                  </c:pt>
                  <c:pt idx="4">
                    <c:v>2011</c:v>
                  </c:pt>
                  <c:pt idx="5">
                    <c:v>2011</c:v>
                  </c:pt>
                  <c:pt idx="6">
                    <c:v>2011</c:v>
                  </c:pt>
                  <c:pt idx="7">
                    <c:v>2011</c:v>
                  </c:pt>
                  <c:pt idx="8">
                    <c:v>2012</c:v>
                  </c:pt>
                  <c:pt idx="9">
                    <c:v>2012</c:v>
                  </c:pt>
                  <c:pt idx="10">
                    <c:v>2012</c:v>
                  </c:pt>
                  <c:pt idx="11">
                    <c:v>2012</c:v>
                  </c:pt>
                  <c:pt idx="12">
                    <c:v>2013</c:v>
                  </c:pt>
                  <c:pt idx="13">
                    <c:v>2013</c:v>
                  </c:pt>
                  <c:pt idx="14">
                    <c:v>2013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2014</c:v>
                  </c:pt>
                  <c:pt idx="18">
                    <c:v>2014</c:v>
                  </c:pt>
                  <c:pt idx="19">
                    <c:v>2014</c:v>
                  </c:pt>
                  <c:pt idx="20">
                    <c:v>2015</c:v>
                  </c:pt>
                  <c:pt idx="21">
                    <c:v>2015</c:v>
                  </c:pt>
                  <c:pt idx="22">
                    <c:v>2015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2016</c:v>
                  </c:pt>
                  <c:pt idx="26">
                    <c:v>2016</c:v>
                  </c:pt>
                  <c:pt idx="27">
                    <c:v>2016</c:v>
                  </c:pt>
                  <c:pt idx="28">
                    <c:v>2017</c:v>
                  </c:pt>
                  <c:pt idx="29">
                    <c:v>2017</c:v>
                  </c:pt>
                  <c:pt idx="30">
                    <c:v>2017</c:v>
                  </c:pt>
                  <c:pt idx="31">
                    <c:v>2017</c:v>
                  </c:pt>
                  <c:pt idx="32">
                    <c:v>2018</c:v>
                  </c:pt>
                  <c:pt idx="33">
                    <c:v>2018</c:v>
                  </c:pt>
                  <c:pt idx="34">
                    <c:v>2018</c:v>
                  </c:pt>
                  <c:pt idx="35">
                    <c:v>2018</c:v>
                  </c:pt>
                  <c:pt idx="36">
                    <c:v>2019</c:v>
                  </c:pt>
                  <c:pt idx="37">
                    <c:v>2019</c:v>
                  </c:pt>
                  <c:pt idx="38">
                    <c:v>2019</c:v>
                  </c:pt>
                  <c:pt idx="39">
                    <c:v>2019</c:v>
                  </c:pt>
                  <c:pt idx="40">
                    <c:v>2020</c:v>
                  </c:pt>
                  <c:pt idx="41">
                    <c:v>2020</c:v>
                  </c:pt>
                  <c:pt idx="42">
                    <c:v>2020</c:v>
                  </c:pt>
                  <c:pt idx="43">
                    <c:v>2020</c:v>
                  </c:pt>
                  <c:pt idx="44">
                    <c:v>2021</c:v>
                  </c:pt>
                  <c:pt idx="45">
                    <c:v>2021</c:v>
                  </c:pt>
                  <c:pt idx="46">
                    <c:v>2021</c:v>
                  </c:pt>
                  <c:pt idx="47">
                    <c:v>2021</c:v>
                  </c:pt>
                  <c:pt idx="48">
                    <c:v>2022</c:v>
                  </c:pt>
                  <c:pt idx="49">
                    <c:v>2022</c:v>
                  </c:pt>
                  <c:pt idx="50">
                    <c:v>2022</c:v>
                  </c:pt>
                </c:lvl>
              </c:multiLvlStrCache>
            </c:multiLvlStrRef>
          </c:cat>
          <c:val>
            <c:numRef>
              <c:f>phaseDesc!$C$2:$C$52</c:f>
              <c:numCache>
                <c:formatCode>0.00</c:formatCode>
                <c:ptCount val="51"/>
                <c:pt idx="0">
                  <c:v>81.548349999999999</c:v>
                </c:pt>
                <c:pt idx="1">
                  <c:v>82.849109999999996</c:v>
                </c:pt>
                <c:pt idx="2">
                  <c:v>82.379459999999995</c:v>
                </c:pt>
                <c:pt idx="3">
                  <c:v>89.954269999999994</c:v>
                </c:pt>
                <c:pt idx="4">
                  <c:v>95.884799999999998</c:v>
                </c:pt>
                <c:pt idx="5">
                  <c:v>94.63897</c:v>
                </c:pt>
                <c:pt idx="6">
                  <c:v>87.999200000000002</c:v>
                </c:pt>
                <c:pt idx="7">
                  <c:v>83.249309999999994</c:v>
                </c:pt>
                <c:pt idx="8">
                  <c:v>86.771870000000007</c:v>
                </c:pt>
                <c:pt idx="9">
                  <c:v>81.962109999999996</c:v>
                </c:pt>
                <c:pt idx="10">
                  <c:v>83.231830000000002</c:v>
                </c:pt>
                <c:pt idx="11">
                  <c:v>85.552350000000004</c:v>
                </c:pt>
                <c:pt idx="12">
                  <c:v>88.729600000000005</c:v>
                </c:pt>
                <c:pt idx="13">
                  <c:v>86.26052</c:v>
                </c:pt>
                <c:pt idx="14">
                  <c:v>88.097899999999996</c:v>
                </c:pt>
                <c:pt idx="15">
                  <c:v>92.525700000000001</c:v>
                </c:pt>
                <c:pt idx="16">
                  <c:v>97.574209999999994</c:v>
                </c:pt>
                <c:pt idx="17">
                  <c:v>102.3635</c:v>
                </c:pt>
                <c:pt idx="18">
                  <c:v>106.95699999999999</c:v>
                </c:pt>
                <c:pt idx="19">
                  <c:v>101.4247</c:v>
                </c:pt>
                <c:pt idx="20">
                  <c:v>103.56480000000001</c:v>
                </c:pt>
                <c:pt idx="21">
                  <c:v>105.18819999999999</c:v>
                </c:pt>
                <c:pt idx="22">
                  <c:v>97.522139999999993</c:v>
                </c:pt>
                <c:pt idx="23">
                  <c:v>93.724810000000005</c:v>
                </c:pt>
                <c:pt idx="24">
                  <c:v>89.251159999999999</c:v>
                </c:pt>
                <c:pt idx="25">
                  <c:v>96.583860000000001</c:v>
                </c:pt>
                <c:pt idx="26">
                  <c:v>101.6934</c:v>
                </c:pt>
                <c:pt idx="27">
                  <c:v>104.13030000000001</c:v>
                </c:pt>
                <c:pt idx="28">
                  <c:v>108.4272</c:v>
                </c:pt>
                <c:pt idx="29">
                  <c:v>107.9365</c:v>
                </c:pt>
                <c:pt idx="30">
                  <c:v>105.88849999999999</c:v>
                </c:pt>
                <c:pt idx="31">
                  <c:v>111.4751</c:v>
                </c:pt>
                <c:pt idx="32">
                  <c:v>109.6913</c:v>
                </c:pt>
                <c:pt idx="33">
                  <c:v>110.6687</c:v>
                </c:pt>
                <c:pt idx="34">
                  <c:v>113.6619</c:v>
                </c:pt>
                <c:pt idx="35">
                  <c:v>104.7972</c:v>
                </c:pt>
                <c:pt idx="36">
                  <c:v>109.1031</c:v>
                </c:pt>
                <c:pt idx="37">
                  <c:v>114.1865</c:v>
                </c:pt>
                <c:pt idx="38">
                  <c:v>114.89660000000001</c:v>
                </c:pt>
                <c:pt idx="39">
                  <c:v>117.0793</c:v>
                </c:pt>
                <c:pt idx="40">
                  <c:v>113.1711</c:v>
                </c:pt>
                <c:pt idx="41">
                  <c:v>103.3257</c:v>
                </c:pt>
                <c:pt idx="42">
                  <c:v>113.2623</c:v>
                </c:pt>
                <c:pt idx="43">
                  <c:v>117.4307</c:v>
                </c:pt>
                <c:pt idx="44">
                  <c:v>127.229</c:v>
                </c:pt>
                <c:pt idx="45">
                  <c:v>136.49809999999999</c:v>
                </c:pt>
                <c:pt idx="46">
                  <c:v>142.14060000000001</c:v>
                </c:pt>
                <c:pt idx="47">
                  <c:v>146.7877</c:v>
                </c:pt>
                <c:pt idx="48">
                  <c:v>148.52099999999999</c:v>
                </c:pt>
                <c:pt idx="49">
                  <c:v>143.51480000000001</c:v>
                </c:pt>
                <c:pt idx="50">
                  <c:v>134.69749999999999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CF-4FFA-A232-8A99A380A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5860927"/>
        <c:axId val="2075872575"/>
      </c:lineChart>
      <c:catAx>
        <c:axId val="2075860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5872575"/>
        <c:crosses val="autoZero"/>
        <c:auto val="1"/>
        <c:lblAlgn val="ctr"/>
        <c:lblOffset val="100"/>
        <c:noMultiLvlLbl val="0"/>
      </c:catAx>
      <c:valAx>
        <c:axId val="207587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5860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800" b="0" i="0" baseline="0">
                <a:effectLst/>
              </a:rPr>
              <a:t>Modélisation linéaire de la tendance</a:t>
            </a:r>
            <a:endParaRPr lang="fr-F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Série brut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698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6050253353677693"/>
                  <c:y val="-0.203500859077622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cat>
            <c:multiLvlStrRef>
              <c:f>choixModele!$A$2:$B$53</c:f>
              <c:multiLvlStrCache>
                <c:ptCount val="5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  <c:pt idx="39">
                    <c:v>Q4</c:v>
                  </c:pt>
                  <c:pt idx="40">
                    <c:v>Q1</c:v>
                  </c:pt>
                  <c:pt idx="41">
                    <c:v>Q2</c:v>
                  </c:pt>
                  <c:pt idx="42">
                    <c:v>Q3</c:v>
                  </c:pt>
                  <c:pt idx="43">
                    <c:v>Q4</c:v>
                  </c:pt>
                  <c:pt idx="44">
                    <c:v>Q1</c:v>
                  </c:pt>
                  <c:pt idx="45">
                    <c:v>Q2</c:v>
                  </c:pt>
                  <c:pt idx="46">
                    <c:v>Q3</c:v>
                  </c:pt>
                  <c:pt idx="47">
                    <c:v>Q4</c:v>
                  </c:pt>
                  <c:pt idx="48">
                    <c:v>Q1</c:v>
                  </c:pt>
                  <c:pt idx="49">
                    <c:v>Q2</c:v>
                  </c:pt>
                  <c:pt idx="50">
                    <c:v>Q3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  <c:pt idx="20">
                    <c:v>2015</c:v>
                  </c:pt>
                  <c:pt idx="24">
                    <c:v>2016</c:v>
                  </c:pt>
                  <c:pt idx="28">
                    <c:v>2017</c:v>
                  </c:pt>
                  <c:pt idx="32">
                    <c:v>2018</c:v>
                  </c:pt>
                  <c:pt idx="36">
                    <c:v>2019</c:v>
                  </c:pt>
                  <c:pt idx="40">
                    <c:v>2020</c:v>
                  </c:pt>
                  <c:pt idx="44">
                    <c:v>2021</c:v>
                  </c:pt>
                  <c:pt idx="48">
                    <c:v>2022</c:v>
                  </c:pt>
                </c:lvl>
              </c:multiLvlStrCache>
            </c:multiLvlStrRef>
          </c:cat>
          <c:val>
            <c:numRef>
              <c:f>choixModele!$E$2:$E$53</c:f>
              <c:numCache>
                <c:formatCode>0.00</c:formatCode>
                <c:ptCount val="52"/>
                <c:pt idx="0">
                  <c:v>81.548349999999999</c:v>
                </c:pt>
                <c:pt idx="1">
                  <c:v>82.849109999999996</c:v>
                </c:pt>
                <c:pt idx="2">
                  <c:v>82.379459999999995</c:v>
                </c:pt>
                <c:pt idx="3">
                  <c:v>89.954269999999994</c:v>
                </c:pt>
                <c:pt idx="4">
                  <c:v>95.884799999999998</c:v>
                </c:pt>
                <c:pt idx="5">
                  <c:v>94.63897</c:v>
                </c:pt>
                <c:pt idx="6">
                  <c:v>87.999200000000002</c:v>
                </c:pt>
                <c:pt idx="7">
                  <c:v>83.249309999999994</c:v>
                </c:pt>
                <c:pt idx="8">
                  <c:v>86.771870000000007</c:v>
                </c:pt>
                <c:pt idx="9">
                  <c:v>81.962109999999996</c:v>
                </c:pt>
                <c:pt idx="10">
                  <c:v>83.231830000000002</c:v>
                </c:pt>
                <c:pt idx="11">
                  <c:v>85.552350000000004</c:v>
                </c:pt>
                <c:pt idx="12">
                  <c:v>88.729600000000005</c:v>
                </c:pt>
                <c:pt idx="13">
                  <c:v>86.26052</c:v>
                </c:pt>
                <c:pt idx="14">
                  <c:v>88.097899999999996</c:v>
                </c:pt>
                <c:pt idx="15">
                  <c:v>92.525700000000001</c:v>
                </c:pt>
                <c:pt idx="16">
                  <c:v>97.574209999999994</c:v>
                </c:pt>
                <c:pt idx="17">
                  <c:v>102.3635</c:v>
                </c:pt>
                <c:pt idx="18">
                  <c:v>106.95699999999999</c:v>
                </c:pt>
                <c:pt idx="19">
                  <c:v>101.4247</c:v>
                </c:pt>
                <c:pt idx="20">
                  <c:v>103.56480000000001</c:v>
                </c:pt>
                <c:pt idx="21">
                  <c:v>105.18819999999999</c:v>
                </c:pt>
                <c:pt idx="22">
                  <c:v>97.522139999999993</c:v>
                </c:pt>
                <c:pt idx="23">
                  <c:v>93.724810000000005</c:v>
                </c:pt>
                <c:pt idx="24">
                  <c:v>89.251159999999999</c:v>
                </c:pt>
                <c:pt idx="25">
                  <c:v>96.583860000000001</c:v>
                </c:pt>
                <c:pt idx="26">
                  <c:v>101.6934</c:v>
                </c:pt>
                <c:pt idx="27">
                  <c:v>104.13030000000001</c:v>
                </c:pt>
                <c:pt idx="28">
                  <c:v>108.4272</c:v>
                </c:pt>
                <c:pt idx="29">
                  <c:v>107.9365</c:v>
                </c:pt>
                <c:pt idx="30">
                  <c:v>105.88849999999999</c:v>
                </c:pt>
                <c:pt idx="31">
                  <c:v>111.4751</c:v>
                </c:pt>
                <c:pt idx="32">
                  <c:v>109.6913</c:v>
                </c:pt>
                <c:pt idx="33">
                  <c:v>110.6687</c:v>
                </c:pt>
                <c:pt idx="34">
                  <c:v>113.6619</c:v>
                </c:pt>
                <c:pt idx="35">
                  <c:v>104.7972</c:v>
                </c:pt>
                <c:pt idx="36">
                  <c:v>109.1031</c:v>
                </c:pt>
                <c:pt idx="37">
                  <c:v>114.1865</c:v>
                </c:pt>
                <c:pt idx="38">
                  <c:v>114.89660000000001</c:v>
                </c:pt>
                <c:pt idx="39">
                  <c:v>117.0793</c:v>
                </c:pt>
                <c:pt idx="40">
                  <c:v>113.1711</c:v>
                </c:pt>
                <c:pt idx="41">
                  <c:v>103.3257</c:v>
                </c:pt>
                <c:pt idx="42">
                  <c:v>113.2623</c:v>
                </c:pt>
                <c:pt idx="43">
                  <c:v>117.4307</c:v>
                </c:pt>
                <c:pt idx="44">
                  <c:v>127.229</c:v>
                </c:pt>
                <c:pt idx="45">
                  <c:v>136.49809999999999</c:v>
                </c:pt>
                <c:pt idx="46">
                  <c:v>142.14060000000001</c:v>
                </c:pt>
                <c:pt idx="47">
                  <c:v>146.7877</c:v>
                </c:pt>
                <c:pt idx="48">
                  <c:v>148.52099999999999</c:v>
                </c:pt>
                <c:pt idx="49">
                  <c:v>143.51480000000001</c:v>
                </c:pt>
                <c:pt idx="50">
                  <c:v>134.69749999999999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68-48D1-B2C3-9836B61363C9}"/>
            </c:ext>
          </c:extLst>
        </c:ser>
        <c:ser>
          <c:idx val="1"/>
          <c:order val="1"/>
          <c:tx>
            <c:v>Série ajustée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choixModele!$F$2:$F$53</c:f>
              <c:numCache>
                <c:formatCode>0.00</c:formatCode>
                <c:ptCount val="52"/>
                <c:pt idx="0">
                  <c:v>78.089642337858209</c:v>
                </c:pt>
                <c:pt idx="1">
                  <c:v>79.15900082473604</c:v>
                </c:pt>
                <c:pt idx="2">
                  <c:v>80.228359311613858</c:v>
                </c:pt>
                <c:pt idx="3">
                  <c:v>81.297717798491689</c:v>
                </c:pt>
                <c:pt idx="4">
                  <c:v>82.367076285369521</c:v>
                </c:pt>
                <c:pt idx="5">
                  <c:v>83.436434772247338</c:v>
                </c:pt>
                <c:pt idx="6">
                  <c:v>84.50579325912517</c:v>
                </c:pt>
                <c:pt idx="7">
                  <c:v>85.575151746003002</c:v>
                </c:pt>
                <c:pt idx="8">
                  <c:v>86.644510232880833</c:v>
                </c:pt>
                <c:pt idx="9">
                  <c:v>87.713868719758665</c:v>
                </c:pt>
                <c:pt idx="10">
                  <c:v>88.783227206636482</c:v>
                </c:pt>
                <c:pt idx="11">
                  <c:v>89.852585693514314</c:v>
                </c:pt>
                <c:pt idx="12">
                  <c:v>90.921944180392146</c:v>
                </c:pt>
                <c:pt idx="13">
                  <c:v>91.991302667269963</c:v>
                </c:pt>
                <c:pt idx="14">
                  <c:v>93.060661154147795</c:v>
                </c:pt>
                <c:pt idx="15">
                  <c:v>94.130019641025626</c:v>
                </c:pt>
                <c:pt idx="16">
                  <c:v>95.199378127903458</c:v>
                </c:pt>
                <c:pt idx="17">
                  <c:v>96.26873661478129</c:v>
                </c:pt>
                <c:pt idx="18">
                  <c:v>97.338095101659107</c:v>
                </c:pt>
                <c:pt idx="19">
                  <c:v>98.407453588536939</c:v>
                </c:pt>
                <c:pt idx="20">
                  <c:v>99.47681207541477</c:v>
                </c:pt>
                <c:pt idx="21">
                  <c:v>100.54617056229259</c:v>
                </c:pt>
                <c:pt idx="22">
                  <c:v>101.61552904917042</c:v>
                </c:pt>
                <c:pt idx="23">
                  <c:v>102.68488753604825</c:v>
                </c:pt>
                <c:pt idx="24">
                  <c:v>103.75424602292608</c:v>
                </c:pt>
                <c:pt idx="25">
                  <c:v>104.82360450980391</c:v>
                </c:pt>
                <c:pt idx="26">
                  <c:v>105.89296299668173</c:v>
                </c:pt>
                <c:pt idx="27">
                  <c:v>106.96232148355956</c:v>
                </c:pt>
                <c:pt idx="28">
                  <c:v>108.03167997043739</c:v>
                </c:pt>
                <c:pt idx="29">
                  <c:v>109.10103845731521</c:v>
                </c:pt>
                <c:pt idx="30">
                  <c:v>110.17039694419304</c:v>
                </c:pt>
                <c:pt idx="31">
                  <c:v>111.23975543107088</c:v>
                </c:pt>
                <c:pt idx="32">
                  <c:v>112.30911391794871</c:v>
                </c:pt>
                <c:pt idx="33">
                  <c:v>113.37847240482654</c:v>
                </c:pt>
                <c:pt idx="34">
                  <c:v>114.44783089170436</c:v>
                </c:pt>
                <c:pt idx="35">
                  <c:v>115.51718937858219</c:v>
                </c:pt>
                <c:pt idx="36">
                  <c:v>116.58654786546002</c:v>
                </c:pt>
                <c:pt idx="37">
                  <c:v>117.65590635233784</c:v>
                </c:pt>
                <c:pt idx="38">
                  <c:v>118.72526483921567</c:v>
                </c:pt>
                <c:pt idx="39">
                  <c:v>119.7946233260935</c:v>
                </c:pt>
                <c:pt idx="40">
                  <c:v>120.86398181297133</c:v>
                </c:pt>
                <c:pt idx="41">
                  <c:v>121.93334029984916</c:v>
                </c:pt>
                <c:pt idx="42">
                  <c:v>123.00269878672698</c:v>
                </c:pt>
                <c:pt idx="43">
                  <c:v>124.07205727360481</c:v>
                </c:pt>
                <c:pt idx="44">
                  <c:v>125.14141576048264</c:v>
                </c:pt>
                <c:pt idx="45">
                  <c:v>126.21077424736046</c:v>
                </c:pt>
                <c:pt idx="46">
                  <c:v>127.28013273423829</c:v>
                </c:pt>
                <c:pt idx="47">
                  <c:v>128.34949122111612</c:v>
                </c:pt>
                <c:pt idx="48">
                  <c:v>129.41884970799396</c:v>
                </c:pt>
                <c:pt idx="49">
                  <c:v>130.48820819487179</c:v>
                </c:pt>
                <c:pt idx="50">
                  <c:v>131.55756668174962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68-48D1-B2C3-9836B6136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9703983"/>
        <c:axId val="1899711471"/>
      </c:lineChart>
      <c:catAx>
        <c:axId val="189970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99711471"/>
        <c:crosses val="autoZero"/>
        <c:auto val="1"/>
        <c:lblAlgn val="ctr"/>
        <c:lblOffset val="100"/>
        <c:noMultiLvlLbl val="0"/>
      </c:catAx>
      <c:valAx>
        <c:axId val="189971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99703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800" b="0" i="0" baseline="0">
                <a:effectLst/>
              </a:rPr>
              <a:t>Modélisation exponentielle de la tendance</a:t>
            </a:r>
            <a:endParaRPr lang="fr-F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Série brut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01600" cap="rnd">
                <a:solidFill>
                  <a:schemeClr val="accent4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57757692519467285"/>
                  <c:y val="-0.759050360173282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cat>
            <c:multiLvlStrRef>
              <c:f>choixModele!$A$2:$B$53</c:f>
              <c:multiLvlStrCache>
                <c:ptCount val="5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  <c:pt idx="39">
                    <c:v>Q4</c:v>
                  </c:pt>
                  <c:pt idx="40">
                    <c:v>Q1</c:v>
                  </c:pt>
                  <c:pt idx="41">
                    <c:v>Q2</c:v>
                  </c:pt>
                  <c:pt idx="42">
                    <c:v>Q3</c:v>
                  </c:pt>
                  <c:pt idx="43">
                    <c:v>Q4</c:v>
                  </c:pt>
                  <c:pt idx="44">
                    <c:v>Q1</c:v>
                  </c:pt>
                  <c:pt idx="45">
                    <c:v>Q2</c:v>
                  </c:pt>
                  <c:pt idx="46">
                    <c:v>Q3</c:v>
                  </c:pt>
                  <c:pt idx="47">
                    <c:v>Q4</c:v>
                  </c:pt>
                  <c:pt idx="48">
                    <c:v>Q1</c:v>
                  </c:pt>
                  <c:pt idx="49">
                    <c:v>Q2</c:v>
                  </c:pt>
                  <c:pt idx="50">
                    <c:v>Q3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  <c:pt idx="20">
                    <c:v>2015</c:v>
                  </c:pt>
                  <c:pt idx="24">
                    <c:v>2016</c:v>
                  </c:pt>
                  <c:pt idx="28">
                    <c:v>2017</c:v>
                  </c:pt>
                  <c:pt idx="32">
                    <c:v>2018</c:v>
                  </c:pt>
                  <c:pt idx="36">
                    <c:v>2019</c:v>
                  </c:pt>
                  <c:pt idx="40">
                    <c:v>2020</c:v>
                  </c:pt>
                  <c:pt idx="44">
                    <c:v>2021</c:v>
                  </c:pt>
                  <c:pt idx="48">
                    <c:v>2022</c:v>
                  </c:pt>
                </c:lvl>
              </c:multiLvlStrCache>
            </c:multiLvlStrRef>
          </c:cat>
          <c:val>
            <c:numRef>
              <c:f>choixModele!$H$2:$H$53</c:f>
              <c:numCache>
                <c:formatCode>0.00</c:formatCode>
                <c:ptCount val="52"/>
                <c:pt idx="0">
                  <c:v>4.4011960958764353</c:v>
                </c:pt>
                <c:pt idx="1">
                  <c:v>4.4170210015095019</c:v>
                </c:pt>
                <c:pt idx="2">
                  <c:v>4.4113361339973753</c:v>
                </c:pt>
                <c:pt idx="3">
                  <c:v>4.4993014300869589</c:v>
                </c:pt>
                <c:pt idx="4">
                  <c:v>4.5631474708913169</c:v>
                </c:pt>
                <c:pt idx="5">
                  <c:v>4.5500693362634852</c:v>
                </c:pt>
                <c:pt idx="6">
                  <c:v>4.4773277235277931</c:v>
                </c:pt>
                <c:pt idx="7">
                  <c:v>4.4218398405379169</c:v>
                </c:pt>
                <c:pt idx="8">
                  <c:v>4.4632824908005571</c:v>
                </c:pt>
                <c:pt idx="9">
                  <c:v>4.406257067304816</c:v>
                </c:pt>
                <c:pt idx="10">
                  <c:v>4.4216298467804949</c:v>
                </c:pt>
                <c:pt idx="11">
                  <c:v>4.4491284692771176</c:v>
                </c:pt>
                <c:pt idx="12">
                  <c:v>4.4855935427789309</c:v>
                </c:pt>
                <c:pt idx="13">
                  <c:v>4.4573720194881021</c:v>
                </c:pt>
                <c:pt idx="14">
                  <c:v>4.4784486961086634</c:v>
                </c:pt>
                <c:pt idx="15">
                  <c:v>4.5274864437664331</c:v>
                </c:pt>
                <c:pt idx="16">
                  <c:v>4.5806132166977518</c:v>
                </c:pt>
                <c:pt idx="17">
                  <c:v>4.6285302037511773</c:v>
                </c:pt>
                <c:pt idx="18">
                  <c:v>4.6724268845319772</c:v>
                </c:pt>
                <c:pt idx="19">
                  <c:v>4.6193166512375079</c:v>
                </c:pt>
                <c:pt idx="20">
                  <c:v>4.6401975037512742</c:v>
                </c:pt>
                <c:pt idx="21">
                  <c:v>4.6557511267120075</c:v>
                </c:pt>
                <c:pt idx="22">
                  <c:v>4.5800794291488165</c:v>
                </c:pt>
                <c:pt idx="23">
                  <c:v>4.5403629354126656</c:v>
                </c:pt>
                <c:pt idx="24">
                  <c:v>4.4914544177741655</c:v>
                </c:pt>
                <c:pt idx="25">
                  <c:v>4.5704116465135884</c:v>
                </c:pt>
                <c:pt idx="26">
                  <c:v>4.6219624041934662</c:v>
                </c:pt>
                <c:pt idx="27">
                  <c:v>4.6456429995517716</c:v>
                </c:pt>
                <c:pt idx="28">
                  <c:v>4.6860789800389835</c:v>
                </c:pt>
                <c:pt idx="29">
                  <c:v>4.6815430912432507</c:v>
                </c:pt>
                <c:pt idx="30">
                  <c:v>4.6623866536984373</c:v>
                </c:pt>
                <c:pt idx="31">
                  <c:v>4.7138012475752591</c:v>
                </c:pt>
                <c:pt idx="32">
                  <c:v>4.6976700569347436</c:v>
                </c:pt>
                <c:pt idx="33">
                  <c:v>4.7065410535735639</c:v>
                </c:pt>
                <c:pt idx="34">
                  <c:v>4.7332282522522195</c:v>
                </c:pt>
                <c:pt idx="35">
                  <c:v>4.6520270539727697</c:v>
                </c:pt>
                <c:pt idx="36">
                  <c:v>4.6922933067341548</c:v>
                </c:pt>
                <c:pt idx="37">
                  <c:v>4.737833076573879</c:v>
                </c:pt>
                <c:pt idx="38">
                  <c:v>4.7440325934682379</c:v>
                </c:pt>
                <c:pt idx="39">
                  <c:v>4.7628514829879096</c:v>
                </c:pt>
                <c:pt idx="40">
                  <c:v>4.7289008328210427</c:v>
                </c:pt>
                <c:pt idx="41">
                  <c:v>4.637886135114746</c:v>
                </c:pt>
                <c:pt idx="42">
                  <c:v>4.7297063677371067</c:v>
                </c:pt>
                <c:pt idx="43">
                  <c:v>4.7658483723572642</c:v>
                </c:pt>
                <c:pt idx="44">
                  <c:v>4.8459886123422224</c:v>
                </c:pt>
                <c:pt idx="45">
                  <c:v>4.9163106951142188</c:v>
                </c:pt>
                <c:pt idx="46">
                  <c:v>4.9568167085802157</c:v>
                </c:pt>
                <c:pt idx="47">
                  <c:v>4.9889873252041097</c:v>
                </c:pt>
                <c:pt idx="48">
                  <c:v>5.0007263623861311</c:v>
                </c:pt>
                <c:pt idx="49">
                  <c:v>4.9664381657700378</c:v>
                </c:pt>
                <c:pt idx="50">
                  <c:v>4.9030315234816486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6B-4BA2-B6A7-37E54594776A}"/>
            </c:ext>
          </c:extLst>
        </c:ser>
        <c:ser>
          <c:idx val="1"/>
          <c:order val="1"/>
          <c:tx>
            <c:v>Série ajustée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choixModele!$I$2:$I$53</c:f>
              <c:numCache>
                <c:formatCode>0.00</c:formatCode>
                <c:ptCount val="52"/>
                <c:pt idx="0">
                  <c:v>179.84045298312202</c:v>
                </c:pt>
                <c:pt idx="1">
                  <c:v>182.18480384238956</c:v>
                </c:pt>
                <c:pt idx="2">
                  <c:v>181.33485248690718</c:v>
                </c:pt>
                <c:pt idx="3">
                  <c:v>195.5403395835931</c:v>
                </c:pt>
                <c:pt idx="4">
                  <c:v>207.4346161492538</c:v>
                </c:pt>
                <c:pt idx="5">
                  <c:v>204.87737421854038</c:v>
                </c:pt>
                <c:pt idx="6">
                  <c:v>191.77068898929156</c:v>
                </c:pt>
                <c:pt idx="7">
                  <c:v>182.91221076163717</c:v>
                </c:pt>
                <c:pt idx="8">
                  <c:v>189.44144332573242</c:v>
                </c:pt>
                <c:pt idx="9">
                  <c:v>180.58287941139571</c:v>
                </c:pt>
                <c:pt idx="10">
                  <c:v>182.88037839221897</c:v>
                </c:pt>
                <c:pt idx="11">
                  <c:v>187.1550418600925</c:v>
                </c:pt>
                <c:pt idx="12">
                  <c:v>193.17042386750819</c:v>
                </c:pt>
                <c:pt idx="13">
                  <c:v>188.47936426490722</c:v>
                </c:pt>
                <c:pt idx="14">
                  <c:v>191.95924285065436</c:v>
                </c:pt>
                <c:pt idx="15">
                  <c:v>200.61147572051152</c:v>
                </c:pt>
                <c:pt idx="16">
                  <c:v>210.95343352720894</c:v>
                </c:pt>
                <c:pt idx="17">
                  <c:v>221.25673638750683</c:v>
                </c:pt>
                <c:pt idx="18">
                  <c:v>231.61131288362159</c:v>
                </c:pt>
                <c:pt idx="19">
                  <c:v>219.19817410475702</c:v>
                </c:pt>
                <c:pt idx="20">
                  <c:v>223.91911942687949</c:v>
                </c:pt>
                <c:pt idx="21">
                  <c:v>227.56795288745451</c:v>
                </c:pt>
                <c:pt idx="22">
                  <c:v>210.84409222741661</c:v>
                </c:pt>
                <c:pt idx="23">
                  <c:v>203.02100724017362</c:v>
                </c:pt>
                <c:pt idx="24">
                  <c:v>194.17618696640196</c:v>
                </c:pt>
                <c:pt idx="25">
                  <c:v>208.88349020292634</c:v>
                </c:pt>
                <c:pt idx="26">
                  <c:v>219.78540421792988</c:v>
                </c:pt>
                <c:pt idx="27">
                  <c:v>225.1834762701385</c:v>
                </c:pt>
                <c:pt idx="28">
                  <c:v>235.02671170761855</c:v>
                </c:pt>
                <c:pt idx="29">
                  <c:v>233.88121089642158</c:v>
                </c:pt>
                <c:pt idx="30">
                  <c:v>229.16028210405048</c:v>
                </c:pt>
                <c:pt idx="31">
                  <c:v>242.26852157290784</c:v>
                </c:pt>
                <c:pt idx="32">
                  <c:v>238.00356390686198</c:v>
                </c:pt>
                <c:pt idx="33">
                  <c:v>240.33108370141369</c:v>
                </c:pt>
                <c:pt idx="34">
                  <c:v>247.60144512873421</c:v>
                </c:pt>
                <c:pt idx="35">
                  <c:v>226.68372260711607</c:v>
                </c:pt>
                <c:pt idx="36">
                  <c:v>236.61373934474366</c:v>
                </c:pt>
                <c:pt idx="37">
                  <c:v>248.89814308967178</c:v>
                </c:pt>
                <c:pt idx="38">
                  <c:v>250.66418098056985</c:v>
                </c:pt>
                <c:pt idx="39">
                  <c:v>256.17145562507051</c:v>
                </c:pt>
                <c:pt idx="40">
                  <c:v>246.39441077211001</c:v>
                </c:pt>
                <c:pt idx="41">
                  <c:v>223.38667224977945</c:v>
                </c:pt>
                <c:pt idx="42">
                  <c:v>246.61825480487465</c:v>
                </c:pt>
                <c:pt idx="43">
                  <c:v>257.0693290360116</c:v>
                </c:pt>
                <c:pt idx="44">
                  <c:v>283.41327402044215</c:v>
                </c:pt>
                <c:pt idx="45">
                  <c:v>310.81483369755921</c:v>
                </c:pt>
                <c:pt idx="46">
                  <c:v>328.77675273094405</c:v>
                </c:pt>
                <c:pt idx="47">
                  <c:v>344.34687472077212</c:v>
                </c:pt>
                <c:pt idx="48">
                  <c:v>350.34127144917608</c:v>
                </c:pt>
                <c:pt idx="49">
                  <c:v>333.30623153445617</c:v>
                </c:pt>
                <c:pt idx="50">
                  <c:v>305.29209692777943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6B-4BA2-B6A7-37E545947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086863"/>
        <c:axId val="466087695"/>
      </c:lineChart>
      <c:catAx>
        <c:axId val="466086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087695"/>
        <c:crosses val="autoZero"/>
        <c:auto val="1"/>
        <c:lblAlgn val="ctr"/>
        <c:lblOffset val="100"/>
        <c:noMultiLvlLbl val="0"/>
      </c:catAx>
      <c:valAx>
        <c:axId val="466087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086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Prévision</a:t>
            </a:r>
            <a:r>
              <a:rPr lang="fr-FR" baseline="0"/>
              <a:t> de l'indice S&amp;P / TSX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Série brut</c:v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multiLvlStrRef>
              <c:f>modeleLineaire!$A$2:$B$57</c:f>
              <c:multiLvlStrCache>
                <c:ptCount val="5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  <c:pt idx="38">
                    <c:v>Q3</c:v>
                  </c:pt>
                  <c:pt idx="39">
                    <c:v>Q4</c:v>
                  </c:pt>
                  <c:pt idx="40">
                    <c:v>Q1</c:v>
                  </c:pt>
                  <c:pt idx="41">
                    <c:v>Q2</c:v>
                  </c:pt>
                  <c:pt idx="42">
                    <c:v>Q3</c:v>
                  </c:pt>
                  <c:pt idx="43">
                    <c:v>Q4</c:v>
                  </c:pt>
                  <c:pt idx="44">
                    <c:v>Q1</c:v>
                  </c:pt>
                  <c:pt idx="45">
                    <c:v>Q2</c:v>
                  </c:pt>
                  <c:pt idx="46">
                    <c:v>Q3</c:v>
                  </c:pt>
                  <c:pt idx="47">
                    <c:v>Q4</c:v>
                  </c:pt>
                  <c:pt idx="48">
                    <c:v>Q1</c:v>
                  </c:pt>
                  <c:pt idx="49">
                    <c:v>Q2</c:v>
                  </c:pt>
                  <c:pt idx="50">
                    <c:v>Q3</c:v>
                  </c:pt>
                  <c:pt idx="51">
                    <c:v>Q4</c:v>
                  </c:pt>
                  <c:pt idx="52">
                    <c:v>Q1</c:v>
                  </c:pt>
                  <c:pt idx="53">
                    <c:v>Q2</c:v>
                  </c:pt>
                  <c:pt idx="54">
                    <c:v>Q3</c:v>
                  </c:pt>
                  <c:pt idx="55">
                    <c:v>Q4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  <c:pt idx="20">
                    <c:v>2015</c:v>
                  </c:pt>
                  <c:pt idx="24">
                    <c:v>2016</c:v>
                  </c:pt>
                  <c:pt idx="28">
                    <c:v>2017</c:v>
                  </c:pt>
                  <c:pt idx="32">
                    <c:v>2018</c:v>
                  </c:pt>
                  <c:pt idx="36">
                    <c:v>2019</c:v>
                  </c:pt>
                  <c:pt idx="40">
                    <c:v>2020</c:v>
                  </c:pt>
                  <c:pt idx="44">
                    <c:v>2021</c:v>
                  </c:pt>
                  <c:pt idx="48">
                    <c:v>2022</c:v>
                  </c:pt>
                  <c:pt idx="52">
                    <c:v>2023</c:v>
                  </c:pt>
                </c:lvl>
              </c:multiLvlStrCache>
            </c:multiLvlStrRef>
          </c:cat>
          <c:val>
            <c:numRef>
              <c:f>modeleLineaire!$D$2:$D$57</c:f>
              <c:numCache>
                <c:formatCode>0.00</c:formatCode>
                <c:ptCount val="56"/>
                <c:pt idx="0">
                  <c:v>81.548349999999999</c:v>
                </c:pt>
                <c:pt idx="1">
                  <c:v>82.849109999999996</c:v>
                </c:pt>
                <c:pt idx="2">
                  <c:v>82.379459999999995</c:v>
                </c:pt>
                <c:pt idx="3">
                  <c:v>89.954269999999994</c:v>
                </c:pt>
                <c:pt idx="4">
                  <c:v>95.884799999999998</c:v>
                </c:pt>
                <c:pt idx="5">
                  <c:v>94.63897</c:v>
                </c:pt>
                <c:pt idx="6">
                  <c:v>87.999200000000002</c:v>
                </c:pt>
                <c:pt idx="7">
                  <c:v>83.249309999999994</c:v>
                </c:pt>
                <c:pt idx="8">
                  <c:v>86.771870000000007</c:v>
                </c:pt>
                <c:pt idx="9">
                  <c:v>81.962109999999996</c:v>
                </c:pt>
                <c:pt idx="10">
                  <c:v>83.231830000000002</c:v>
                </c:pt>
                <c:pt idx="11">
                  <c:v>85.552350000000004</c:v>
                </c:pt>
                <c:pt idx="12">
                  <c:v>88.729600000000005</c:v>
                </c:pt>
                <c:pt idx="13">
                  <c:v>86.26052</c:v>
                </c:pt>
                <c:pt idx="14">
                  <c:v>88.097899999999996</c:v>
                </c:pt>
                <c:pt idx="15">
                  <c:v>92.525700000000001</c:v>
                </c:pt>
                <c:pt idx="16">
                  <c:v>97.574209999999994</c:v>
                </c:pt>
                <c:pt idx="17">
                  <c:v>102.3635</c:v>
                </c:pt>
                <c:pt idx="18">
                  <c:v>106.95699999999999</c:v>
                </c:pt>
                <c:pt idx="19">
                  <c:v>101.4247</c:v>
                </c:pt>
                <c:pt idx="20">
                  <c:v>103.56480000000001</c:v>
                </c:pt>
                <c:pt idx="21">
                  <c:v>105.18819999999999</c:v>
                </c:pt>
                <c:pt idx="22">
                  <c:v>97.522139999999993</c:v>
                </c:pt>
                <c:pt idx="23">
                  <c:v>93.724810000000005</c:v>
                </c:pt>
                <c:pt idx="24">
                  <c:v>89.251159999999999</c:v>
                </c:pt>
                <c:pt idx="25">
                  <c:v>96.583860000000001</c:v>
                </c:pt>
                <c:pt idx="26">
                  <c:v>101.6934</c:v>
                </c:pt>
                <c:pt idx="27">
                  <c:v>104.13030000000001</c:v>
                </c:pt>
                <c:pt idx="28">
                  <c:v>108.4272</c:v>
                </c:pt>
                <c:pt idx="29">
                  <c:v>107.9365</c:v>
                </c:pt>
                <c:pt idx="30">
                  <c:v>105.88849999999999</c:v>
                </c:pt>
                <c:pt idx="31">
                  <c:v>111.4751</c:v>
                </c:pt>
                <c:pt idx="32">
                  <c:v>109.6913</c:v>
                </c:pt>
                <c:pt idx="33">
                  <c:v>110.6687</c:v>
                </c:pt>
                <c:pt idx="34">
                  <c:v>113.6619</c:v>
                </c:pt>
                <c:pt idx="35">
                  <c:v>104.7972</c:v>
                </c:pt>
                <c:pt idx="36">
                  <c:v>109.1031</c:v>
                </c:pt>
                <c:pt idx="37">
                  <c:v>114.1865</c:v>
                </c:pt>
                <c:pt idx="38">
                  <c:v>114.89660000000001</c:v>
                </c:pt>
                <c:pt idx="39">
                  <c:v>117.0793</c:v>
                </c:pt>
                <c:pt idx="40">
                  <c:v>113.1711</c:v>
                </c:pt>
                <c:pt idx="41">
                  <c:v>103.3257</c:v>
                </c:pt>
                <c:pt idx="42">
                  <c:v>113.2623</c:v>
                </c:pt>
                <c:pt idx="43">
                  <c:v>117.4307</c:v>
                </c:pt>
                <c:pt idx="44">
                  <c:v>127.229</c:v>
                </c:pt>
                <c:pt idx="45">
                  <c:v>136.49809999999999</c:v>
                </c:pt>
                <c:pt idx="46">
                  <c:v>142.14060000000001</c:v>
                </c:pt>
                <c:pt idx="47">
                  <c:v>146.7877</c:v>
                </c:pt>
                <c:pt idx="48">
                  <c:v>148.52099999999999</c:v>
                </c:pt>
                <c:pt idx="49">
                  <c:v>143.51480000000001</c:v>
                </c:pt>
                <c:pt idx="50">
                  <c:v>134.69749999999999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59-42A0-BE5F-A27B31F028B5}"/>
            </c:ext>
          </c:extLst>
        </c:ser>
        <c:ser>
          <c:idx val="1"/>
          <c:order val="1"/>
          <c:tx>
            <c:strRef>
              <c:f>modeleLineaire!$L$1</c:f>
              <c:strCache>
                <c:ptCount val="1"/>
                <c:pt idx="0">
                  <c:v>Prévisions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modeleLineaire!$L$2:$L$57</c:f>
              <c:numCache>
                <c:formatCode>0.00</c:formatCode>
                <c:ptCount val="56"/>
                <c:pt idx="0">
                  <c:v>79.547789627079695</c:v>
                </c:pt>
                <c:pt idx="1">
                  <c:v>81.062493563684896</c:v>
                </c:pt>
                <c:pt idx="2">
                  <c:v>79.403048037939442</c:v>
                </c:pt>
                <c:pt idx="3">
                  <c:v>79.490210165239588</c:v>
                </c:pt>
                <c:pt idx="4">
                  <c:v>83.825223574591007</c:v>
                </c:pt>
                <c:pt idx="5">
                  <c:v>85.339927511196194</c:v>
                </c:pt>
                <c:pt idx="6">
                  <c:v>83.680481985450754</c:v>
                </c:pt>
                <c:pt idx="7">
                  <c:v>83.767644112750901</c:v>
                </c:pt>
                <c:pt idx="8">
                  <c:v>88.102657522102319</c:v>
                </c:pt>
                <c:pt idx="9">
                  <c:v>89.617361458707521</c:v>
                </c:pt>
                <c:pt idx="10">
                  <c:v>87.957915932962067</c:v>
                </c:pt>
                <c:pt idx="11">
                  <c:v>88.045078060262213</c:v>
                </c:pt>
                <c:pt idx="12">
                  <c:v>92.380091469613632</c:v>
                </c:pt>
                <c:pt idx="13">
                  <c:v>93.894795406218819</c:v>
                </c:pt>
                <c:pt idx="14">
                  <c:v>92.235349880473379</c:v>
                </c:pt>
                <c:pt idx="15">
                  <c:v>92.322512007773526</c:v>
                </c:pt>
                <c:pt idx="16">
                  <c:v>96.657525417124944</c:v>
                </c:pt>
                <c:pt idx="17">
                  <c:v>98.172229353730145</c:v>
                </c:pt>
                <c:pt idx="18">
                  <c:v>96.512783827984691</c:v>
                </c:pt>
                <c:pt idx="19">
                  <c:v>96.599945955284838</c:v>
                </c:pt>
                <c:pt idx="20">
                  <c:v>100.93495936463626</c:v>
                </c:pt>
                <c:pt idx="21">
                  <c:v>102.44966330124144</c:v>
                </c:pt>
                <c:pt idx="22">
                  <c:v>100.790217775496</c:v>
                </c:pt>
                <c:pt idx="23">
                  <c:v>100.87737990279615</c:v>
                </c:pt>
                <c:pt idx="24">
                  <c:v>105.21239331214757</c:v>
                </c:pt>
                <c:pt idx="25">
                  <c:v>106.72709724875277</c:v>
                </c:pt>
                <c:pt idx="26">
                  <c:v>105.06765172300732</c:v>
                </c:pt>
                <c:pt idx="27">
                  <c:v>105.15481385030746</c:v>
                </c:pt>
                <c:pt idx="28">
                  <c:v>109.48982725965888</c:v>
                </c:pt>
                <c:pt idx="29">
                  <c:v>111.00453119626407</c:v>
                </c:pt>
                <c:pt idx="30">
                  <c:v>109.34508567051863</c:v>
                </c:pt>
                <c:pt idx="31">
                  <c:v>109.43224779781877</c:v>
                </c:pt>
                <c:pt idx="32">
                  <c:v>113.76726120717019</c:v>
                </c:pt>
                <c:pt idx="33">
                  <c:v>115.28196514377539</c:v>
                </c:pt>
                <c:pt idx="34">
                  <c:v>113.62251961802994</c:v>
                </c:pt>
                <c:pt idx="35">
                  <c:v>113.70968174533009</c:v>
                </c:pt>
                <c:pt idx="36">
                  <c:v>118.04469515468151</c:v>
                </c:pt>
                <c:pt idx="37">
                  <c:v>119.55939909128669</c:v>
                </c:pt>
                <c:pt idx="38">
                  <c:v>117.89995356554125</c:v>
                </c:pt>
                <c:pt idx="39">
                  <c:v>117.9871156928414</c:v>
                </c:pt>
                <c:pt idx="40">
                  <c:v>122.32212910219282</c:v>
                </c:pt>
                <c:pt idx="41">
                  <c:v>123.83683303879802</c:v>
                </c:pt>
                <c:pt idx="42">
                  <c:v>122.17738751305257</c:v>
                </c:pt>
                <c:pt idx="43">
                  <c:v>122.26454964035271</c:v>
                </c:pt>
                <c:pt idx="44">
                  <c:v>126.59956304970413</c:v>
                </c:pt>
                <c:pt idx="45">
                  <c:v>128.1142669863093</c:v>
                </c:pt>
                <c:pt idx="46">
                  <c:v>126.45482146056388</c:v>
                </c:pt>
                <c:pt idx="47">
                  <c:v>126.54198358786402</c:v>
                </c:pt>
                <c:pt idx="48">
                  <c:v>130.87699699721546</c:v>
                </c:pt>
                <c:pt idx="49">
                  <c:v>132.39170093382063</c:v>
                </c:pt>
                <c:pt idx="50">
                  <c:v>130.73225540807519</c:v>
                </c:pt>
                <c:pt idx="51">
                  <c:v>130.81941753537535</c:v>
                </c:pt>
                <c:pt idx="52">
                  <c:v>135.15443094472678</c:v>
                </c:pt>
                <c:pt idx="53">
                  <c:v>136.66913488133193</c:v>
                </c:pt>
                <c:pt idx="54">
                  <c:v>135.00968935558649</c:v>
                </c:pt>
                <c:pt idx="55">
                  <c:v>135.09685148288665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88-43DC-8562-F976CF11A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8107248"/>
        <c:axId val="2108111408"/>
      </c:lineChart>
      <c:catAx>
        <c:axId val="210810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08111408"/>
        <c:crosses val="autoZero"/>
        <c:auto val="1"/>
        <c:lblAlgn val="ctr"/>
        <c:lblOffset val="100"/>
        <c:noMultiLvlLbl val="0"/>
      </c:catAx>
      <c:valAx>
        <c:axId val="210811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Prix en €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0810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_xlchart.v1.13</cx:f>
      </cx:numDim>
    </cx:data>
    <cx:data id="1">
      <cx:numDim type="val">
        <cx:f dir="row">_xlchart.v1.14</cx:f>
      </cx:numDim>
    </cx:data>
    <cx:data id="2">
      <cx:numDim type="val">
        <cx:f dir="row">_xlchart.v1.15</cx:f>
      </cx:numDim>
    </cx:data>
    <cx:data id="3">
      <cx:numDim type="val">
        <cx:f dir="row">_xlchart.v1.16</cx:f>
      </cx:numDim>
    </cx:data>
    <cx:data id="4">
      <cx:numDim type="val">
        <cx:f dir="row">_xlchart.v1.17</cx:f>
      </cx:numDim>
    </cx:data>
    <cx:data id="5">
      <cx:numDim type="val">
        <cx:f dir="row">_xlchart.v1.18</cx:f>
      </cx:numDim>
    </cx:data>
    <cx:data id="6">
      <cx:numDim type="val">
        <cx:f dir="row">_xlchart.v1.19</cx:f>
      </cx:numDim>
    </cx:data>
    <cx:data id="7">
      <cx:numDim type="val">
        <cx:f dir="row">_xlchart.v1.20</cx:f>
      </cx:numDim>
    </cx:data>
    <cx:data id="8">
      <cx:numDim type="val">
        <cx:f dir="row">_xlchart.v1.21</cx:f>
      </cx:numDim>
    </cx:data>
    <cx:data id="9">
      <cx:numDim type="val">
        <cx:f dir="row">_xlchart.v1.22</cx:f>
      </cx:numDim>
    </cx:data>
    <cx:data id="10">
      <cx:numDim type="val">
        <cx:f dir="row">_xlchart.v1.23</cx:f>
      </cx:numDim>
    </cx:data>
    <cx:data id="11">
      <cx:numDim type="val">
        <cx:f dir="row">_xlchart.v1.24</cx:f>
      </cx:numDim>
    </cx:data>
    <cx:data id="12">
      <cx:numDim type="val">
        <cx:f dir="row">_xlchart.v1.25</cx:f>
      </cx:numDim>
    </cx:data>
  </cx:chartData>
  <cx:chart>
    <cx:title pos="t" align="ctr" overlay="0">
      <cx:tx>
        <cx:txData>
          <cx:v>Distribution des valeurs pour chaque année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kumimoji="0" lang="fr-FR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rPr>
            <a:t>Distribution des valeurs pour chaque année</a:t>
          </a:r>
        </a:p>
      </cx:txPr>
    </cx:title>
    <cx:plotArea>
      <cx:plotAreaRegion>
        <cx:series layoutId="boxWhisker" uniqueId="{941FF155-89E6-4DE8-904D-2DDF8552D602}">
          <cx:tx>
            <cx:txData>
              <cx:f>_xlchart.v1.0</cx:f>
              <cx:v>2010</cx:v>
            </cx:txData>
          </cx:tx>
          <cx:dataId val="0"/>
          <cx:layoutPr>
            <cx:statistics quartileMethod="exclusive"/>
          </cx:layoutPr>
        </cx:series>
        <cx:series layoutId="boxWhisker" uniqueId="{7DA74B08-7BD0-4C29-B2BE-13E2E6F86601}">
          <cx:tx>
            <cx:txData>
              <cx:f>_xlchart.v1.1</cx:f>
              <cx:v>2011</cx:v>
            </cx:txData>
          </cx:tx>
          <cx:dataId val="1"/>
          <cx:layoutPr>
            <cx:statistics quartileMethod="exclusive"/>
          </cx:layoutPr>
        </cx:series>
        <cx:series layoutId="boxWhisker" uniqueId="{FE60C77D-BC99-449C-8AF4-33C8044B744D}">
          <cx:tx>
            <cx:txData>
              <cx:f>_xlchart.v1.2</cx:f>
              <cx:v>2012</cx:v>
            </cx:txData>
          </cx:tx>
          <cx:dataId val="2"/>
          <cx:layoutPr>
            <cx:statistics quartileMethod="exclusive"/>
          </cx:layoutPr>
        </cx:series>
        <cx:series layoutId="boxWhisker" uniqueId="{C3CAF1E9-C938-4B5D-892C-30824CD292A7}">
          <cx:tx>
            <cx:txData>
              <cx:f>_xlchart.v1.3</cx:f>
              <cx:v>2013</cx:v>
            </cx:txData>
          </cx:tx>
          <cx:dataId val="3"/>
          <cx:layoutPr>
            <cx:statistics quartileMethod="exclusive"/>
          </cx:layoutPr>
        </cx:series>
        <cx:series layoutId="boxWhisker" uniqueId="{A0E55A1D-249E-449D-9B0E-468BC5A25A0A}">
          <cx:tx>
            <cx:txData>
              <cx:f>_xlchart.v1.4</cx:f>
              <cx:v>2014</cx:v>
            </cx:txData>
          </cx:tx>
          <cx:dataId val="4"/>
          <cx:layoutPr>
            <cx:statistics quartileMethod="exclusive"/>
          </cx:layoutPr>
        </cx:series>
        <cx:series layoutId="boxWhisker" uniqueId="{13C83A66-5B29-4B0A-9463-6AF9B247FA63}">
          <cx:tx>
            <cx:txData>
              <cx:f>_xlchart.v1.5</cx:f>
              <cx:v>2015</cx:v>
            </cx:txData>
          </cx:tx>
          <cx:dataId val="5"/>
          <cx:layoutPr>
            <cx:statistics quartileMethod="exclusive"/>
          </cx:layoutPr>
        </cx:series>
        <cx:series layoutId="boxWhisker" uniqueId="{A44B57FC-EF7E-4ACA-94D6-FA34C9B53D1E}">
          <cx:tx>
            <cx:txData>
              <cx:f>_xlchart.v1.6</cx:f>
              <cx:v>2016</cx:v>
            </cx:txData>
          </cx:tx>
          <cx:dataId val="6"/>
          <cx:layoutPr>
            <cx:statistics quartileMethod="exclusive"/>
          </cx:layoutPr>
        </cx:series>
        <cx:series layoutId="boxWhisker" uniqueId="{992BF195-6F1C-4665-991D-B174759E8B28}">
          <cx:tx>
            <cx:txData>
              <cx:f>_xlchart.v1.7</cx:f>
              <cx:v>2017</cx:v>
            </cx:txData>
          </cx:tx>
          <cx:dataId val="7"/>
          <cx:layoutPr>
            <cx:statistics quartileMethod="exclusive"/>
          </cx:layoutPr>
        </cx:series>
        <cx:series layoutId="boxWhisker" uniqueId="{79F4D47E-8D2D-4BF2-8635-97E32CE3F756}">
          <cx:tx>
            <cx:txData>
              <cx:f>_xlchart.v1.8</cx:f>
              <cx:v>2018</cx:v>
            </cx:txData>
          </cx:tx>
          <cx:dataId val="8"/>
          <cx:layoutPr>
            <cx:statistics quartileMethod="exclusive"/>
          </cx:layoutPr>
        </cx:series>
        <cx:series layoutId="boxWhisker" uniqueId="{A8C0E9FC-25FE-4A61-8A43-4531AFF6360C}">
          <cx:tx>
            <cx:txData>
              <cx:f>_xlchart.v1.9</cx:f>
              <cx:v>2019</cx:v>
            </cx:txData>
          </cx:tx>
          <cx:dataId val="9"/>
          <cx:layoutPr>
            <cx:statistics quartileMethod="exclusive"/>
          </cx:layoutPr>
        </cx:series>
        <cx:series layoutId="boxWhisker" uniqueId="{1F0D345E-38C6-4ADF-B77B-B86DEF611EFB}">
          <cx:tx>
            <cx:txData>
              <cx:f>_xlchart.v1.10</cx:f>
              <cx:v>2020</cx:v>
            </cx:txData>
          </cx:tx>
          <cx:dataId val="10"/>
          <cx:layoutPr>
            <cx:statistics quartileMethod="exclusive"/>
          </cx:layoutPr>
        </cx:series>
        <cx:series layoutId="boxWhisker" uniqueId="{A84DDC20-9B7E-442F-A342-1BD6D316F367}">
          <cx:tx>
            <cx:txData>
              <cx:f>_xlchart.v1.11</cx:f>
              <cx:v>2021</cx:v>
            </cx:txData>
          </cx:tx>
          <cx:dataId val="11"/>
          <cx:layoutPr>
            <cx:statistics quartileMethod="exclusive"/>
          </cx:layoutPr>
        </cx:series>
        <cx:series layoutId="boxWhisker" uniqueId="{8315572E-6D68-46A1-B43D-ADE23C738881}">
          <cx:tx>
            <cx:txData>
              <cx:f>_xlchart.v1.12</cx:f>
              <cx:v>2022</cx:v>
            </cx:txData>
          </cx:tx>
          <cx:dataId val="12"/>
          <cx:layoutPr>
            <cx:statistics quartileMethod="exclusive"/>
          </cx:layoutPr>
        </cx:series>
      </cx:plotAreaRegion>
      <cx:axis id="0" hidden="1">
        <cx:catScaling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_xlchart.v1.27</cx:f>
      </cx:numDim>
    </cx:data>
    <cx:data id="1">
      <cx:numDim type="val">
        <cx:f>_xlchart.v1.29</cx:f>
      </cx:numDim>
    </cx:data>
    <cx:data id="2">
      <cx:numDim type="val">
        <cx:f>_xlchart.v1.31</cx:f>
      </cx:numDim>
    </cx:data>
    <cx:data id="3">
      <cx:numDim type="val">
        <cx:f>_xlchart.v1.33</cx:f>
      </cx:numDim>
    </cx:data>
  </cx:chartData>
  <cx:chart>
    <cx:title pos="t" align="ctr" overlay="0">
      <cx:tx>
        <cx:txData>
          <cx:v>Distribution des valeurs pour chaque trimestre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fr-FR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Distribution des valeurs pour chaque trimestre</a:t>
          </a:r>
        </a:p>
      </cx:txPr>
    </cx:title>
    <cx:plotArea>
      <cx:plotAreaRegion>
        <cx:series layoutId="boxWhisker" uniqueId="{4916138D-8334-4BCA-8C0A-0F07888F4856}">
          <cx:tx>
            <cx:txData>
              <cx:f>_xlchart.v1.26</cx:f>
              <cx:v>Trimestre 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CDFA9270-07AB-456A-8961-817861E982A6}">
          <cx:tx>
            <cx:txData>
              <cx:f>_xlchart.v1.28</cx:f>
              <cx:v>Trimestre 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F6E1A40A-8681-46C1-ABC4-A6E25FEE13C3}">
          <cx:tx>
            <cx:txData>
              <cx:f>_xlchart.v1.30</cx:f>
              <cx:v>Trimestre 3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A1A01D4B-CD03-441E-BCBD-1E8CA8475794}">
          <cx:tx>
            <cx:txData>
              <cx:f>_xlchart.v1.32</cx:f>
              <cx:v>Trimestre 4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microsoft.com/office/2014/relationships/chartEx" Target="../charts/chartEx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104774</xdr:colOff>
      <xdr:row>16</xdr:row>
      <xdr:rowOff>195262</xdr:rowOff>
    </xdr:from>
    <xdr:to>
      <xdr:col>12</xdr:col>
      <xdr:colOff>66674</xdr:colOff>
      <xdr:row>31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807A065-E27B-40E2-8F7C-2854139E2A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161924</xdr:colOff>
      <xdr:row>16</xdr:row>
      <xdr:rowOff>190500</xdr:rowOff>
    </xdr:from>
    <xdr:to>
      <xdr:col>20</xdr:col>
      <xdr:colOff>85725</xdr:colOff>
      <xdr:row>30</xdr:row>
      <xdr:rowOff>190499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ED010F1-7230-4700-B687-F381600C0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57149</xdr:colOff>
      <xdr:row>46</xdr:row>
      <xdr:rowOff>52386</xdr:rowOff>
    </xdr:from>
    <xdr:to>
      <xdr:col>8</xdr:col>
      <xdr:colOff>414618</xdr:colOff>
      <xdr:row>62</xdr:row>
      <xdr:rowOff>57149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phique 3">
              <a:extLst>
                <a:ext uri="{FF2B5EF4-FFF2-40B4-BE49-F238E27FC236}">
                  <a16:creationId xmlns:a16="http://schemas.microsoft.com/office/drawing/2014/main" id="{D1981963-922C-4751-A461-281A562E428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52699" y="8920161"/>
              <a:ext cx="6024844" cy="305276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8</xdr:col>
      <xdr:colOff>509866</xdr:colOff>
      <xdr:row>46</xdr:row>
      <xdr:rowOff>45943</xdr:rowOff>
    </xdr:from>
    <xdr:to>
      <xdr:col>16</xdr:col>
      <xdr:colOff>11205</xdr:colOff>
      <xdr:row>62</xdr:row>
      <xdr:rowOff>67235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Graphique 6">
              <a:extLst>
                <a:ext uri="{FF2B5EF4-FFF2-40B4-BE49-F238E27FC236}">
                  <a16:creationId xmlns:a16="http://schemas.microsoft.com/office/drawing/2014/main" id="{0E11E039-EABA-4F19-9584-97D19B205C9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672791" y="8913718"/>
              <a:ext cx="5930714" cy="306929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4</xdr:col>
      <xdr:colOff>72613</xdr:colOff>
      <xdr:row>62</xdr:row>
      <xdr:rowOff>121227</xdr:rowOff>
    </xdr:from>
    <xdr:to>
      <xdr:col>13</xdr:col>
      <xdr:colOff>83128</xdr:colOff>
      <xdr:row>86</xdr:row>
      <xdr:rowOff>23131</xdr:rowOff>
    </xdr:to>
    <xdr:grpSp>
      <xdr:nvGrpSpPr>
        <xdr:cNvPr id="11" name="Groupe 10">
          <a:extLst>
            <a:ext uri="{FF2B5EF4-FFF2-40B4-BE49-F238E27FC236}">
              <a16:creationId xmlns:a16="http://schemas.microsoft.com/office/drawing/2014/main" id="{46B7732C-5315-40D4-A0E1-6A850494D5C7}"/>
            </a:ext>
          </a:extLst>
        </xdr:cNvPr>
        <xdr:cNvGrpSpPr/>
      </xdr:nvGrpSpPr>
      <xdr:grpSpPr>
        <a:xfrm>
          <a:off x="2568163" y="12037002"/>
          <a:ext cx="10859490" cy="4473904"/>
          <a:chOff x="2566431" y="12105409"/>
          <a:chExt cx="10210924" cy="4473904"/>
        </a:xfrm>
      </xdr:grpSpPr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5963BA47-8E34-49DD-84F0-5884EB115F0D}"/>
              </a:ext>
            </a:extLst>
          </xdr:cNvPr>
          <xdr:cNvGraphicFramePr/>
        </xdr:nvGraphicFramePr>
        <xdr:xfrm>
          <a:off x="2566431" y="12105409"/>
          <a:ext cx="9642887" cy="447390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cxnSp macro="">
        <xdr:nvCxnSpPr>
          <xdr:cNvPr id="8" name="Connecteur droit 7">
            <a:extLst>
              <a:ext uri="{FF2B5EF4-FFF2-40B4-BE49-F238E27FC236}">
                <a16:creationId xmlns:a16="http://schemas.microsoft.com/office/drawing/2014/main" id="{BE7CE2A1-CC98-4F8E-980F-55229F22A822}"/>
              </a:ext>
            </a:extLst>
          </xdr:cNvPr>
          <xdr:cNvCxnSpPr/>
        </xdr:nvCxnSpPr>
        <xdr:spPr>
          <a:xfrm flipV="1">
            <a:off x="3203864" y="12642274"/>
            <a:ext cx="9403772" cy="1333499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Connecteur droit 9">
            <a:extLst>
              <a:ext uri="{FF2B5EF4-FFF2-40B4-BE49-F238E27FC236}">
                <a16:creationId xmlns:a16="http://schemas.microsoft.com/office/drawing/2014/main" id="{96F997C8-D923-46CC-AAB7-67C37643D535}"/>
              </a:ext>
            </a:extLst>
          </xdr:cNvPr>
          <xdr:cNvCxnSpPr/>
        </xdr:nvCxnSpPr>
        <xdr:spPr>
          <a:xfrm flipV="1">
            <a:off x="3373583" y="13470083"/>
            <a:ext cx="9403772" cy="1333499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76200</xdr:colOff>
      <xdr:row>1</xdr:row>
      <xdr:rowOff>4762</xdr:rowOff>
    </xdr:from>
    <xdr:to>
      <xdr:col>27</xdr:col>
      <xdr:colOff>19051</xdr:colOff>
      <xdr:row>20</xdr:row>
      <xdr:rowOff>66676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2176886-31E0-428B-9377-34A18B1E36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86845</xdr:colOff>
      <xdr:row>21</xdr:row>
      <xdr:rowOff>194702</xdr:rowOff>
    </xdr:from>
    <xdr:to>
      <xdr:col>26</xdr:col>
      <xdr:colOff>750794</xdr:colOff>
      <xdr:row>41</xdr:row>
      <xdr:rowOff>33617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B6B2A1E4-E146-4DE5-9F67-581EB29500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11207</xdr:colOff>
      <xdr:row>6</xdr:row>
      <xdr:rowOff>-1</xdr:rowOff>
    </xdr:from>
    <xdr:to>
      <xdr:col>14</xdr:col>
      <xdr:colOff>201707</xdr:colOff>
      <xdr:row>12</xdr:row>
      <xdr:rowOff>78441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5285E5E8-9F07-477E-9010-1C01B19896BD}"/>
            </a:ext>
          </a:extLst>
        </xdr:cNvPr>
        <xdr:cNvSpPr/>
      </xdr:nvSpPr>
      <xdr:spPr>
        <a:xfrm>
          <a:off x="8875060" y="1187823"/>
          <a:ext cx="1714500" cy="123264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choix du modèle sera </a:t>
          </a:r>
          <a:r>
            <a:rPr lang="fr-FR" sz="1100" b="1"/>
            <a:t>le modèle</a:t>
          </a:r>
          <a:r>
            <a:rPr lang="fr-FR" sz="1100" b="1" baseline="0"/>
            <a:t> linéaire </a:t>
          </a:r>
          <a:r>
            <a:rPr lang="fr-FR" sz="1100" baseline="0"/>
            <a:t>de par sa faible somme d'écart type à la moyenne égal à 3161.</a:t>
          </a:r>
        </a:p>
        <a:p>
          <a:pPr algn="l"/>
          <a:endParaRPr lang="fr-FR" sz="1100" baseline="0"/>
        </a:p>
        <a:p>
          <a:pPr algn="l"/>
          <a:r>
            <a:rPr lang="fr-FR" sz="1100" baseline="0"/>
            <a:t>Avec modèle additif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285749</xdr:colOff>
      <xdr:row>13</xdr:row>
      <xdr:rowOff>52387</xdr:rowOff>
    </xdr:from>
    <xdr:to>
      <xdr:col>22</xdr:col>
      <xdr:colOff>285749</xdr:colOff>
      <xdr:row>33</xdr:row>
      <xdr:rowOff>66675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A344822F-BA92-4609-A326-98C8034DAD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266699</xdr:colOff>
      <xdr:row>0</xdr:row>
      <xdr:rowOff>123824</xdr:rowOff>
    </xdr:from>
    <xdr:to>
      <xdr:col>22</xdr:col>
      <xdr:colOff>38100</xdr:colOff>
      <xdr:row>12</xdr:row>
      <xdr:rowOff>57150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F90392A-8A4E-4315-BCE7-039C32E76E47}"/>
            </a:ext>
          </a:extLst>
        </xdr:cNvPr>
        <xdr:cNvSpPr/>
      </xdr:nvSpPr>
      <xdr:spPr>
        <a:xfrm>
          <a:off x="11925299" y="123824"/>
          <a:ext cx="5105401" cy="225742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La</a:t>
          </a:r>
          <a:r>
            <a:rPr lang="fr-FR" sz="1100" baseline="0"/>
            <a:t> version finale du modèle qui comprend la tendance plus les coefficients siasonniers se rapproche de la série réelle</a:t>
          </a:r>
          <a:r>
            <a:rPr lang="fr-FR" sz="1100"/>
            <a:t>, on a une somme de</a:t>
          </a:r>
          <a:r>
            <a:rPr lang="fr-FR" sz="1100" baseline="0"/>
            <a:t> carré des résidus inférieure au modèle que l'on avait précédemment obtenu uniquement avec la tendance. En effet, lorsque l'on a testé les différents modèles, nous avons trouvé une somme des carrés des résidus pour l'ajustement linéaire de la tendance égal à 3161.</a:t>
          </a:r>
        </a:p>
        <a:p>
          <a:pPr algn="l"/>
          <a:endParaRPr lang="fr-FR" sz="1100" baseline="0"/>
        </a:p>
        <a:p>
          <a:pPr algn="l"/>
          <a:r>
            <a:rPr lang="fr-FR" sz="1100" baseline="0"/>
            <a:t>Et lors du calcul du modèle linéaire, la somme est égal à 3148. Nous avons pu réduire les résidus en ajustant les coefficients saisonniers, ce qui est satisfaisant.</a:t>
          </a:r>
        </a:p>
        <a:p>
          <a:pPr algn="l"/>
          <a:r>
            <a:rPr lang="fr-FR" sz="1100" baseline="0"/>
            <a:t>On peut donc ainsi voir une légère baisse lor du 4ème trimestre de 2022. Mais par la suite, les chiffres augmentent lors du premier trimestre de 2023.</a:t>
          </a:r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409951</xdr:colOff>
      <xdr:row>39</xdr:row>
      <xdr:rowOff>77248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3A2413C-B100-4010-8E6A-1776F72B7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95951" cy="750674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 JOSSEC LUKAS" refreshedDate="44895.761365393519" createdVersion="7" refreshedVersion="7" minRefreshableVersion="3" recordCount="51" xr:uid="{BB6DCE2A-E283-40D2-ABBE-65EC90B0A4C9}">
  <cacheSource type="worksheet">
    <worksheetSource ref="A1:C52" sheet="phaseDesc"/>
  </cacheSource>
  <cacheFields count="3">
    <cacheField name="annee" numFmtId="0">
      <sharedItems containsSemiMixedTypes="0" containsString="0" containsNumber="1" containsInteger="1" minValue="2010" maxValue="2022" count="13"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</cacheField>
    <cacheField name="Trimestre" numFmtId="0">
      <sharedItems count="4">
        <s v="Q1"/>
        <s v="Q2"/>
        <s v="Q3"/>
        <s v="Q4"/>
      </sharedItems>
    </cacheField>
    <cacheField name="Valeurs2" numFmtId="2">
      <sharedItems containsSemiMixedTypes="0" containsString="0" containsNumber="1" minValue="81.548349999999999" maxValue="148.520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">
  <r>
    <x v="0"/>
    <x v="0"/>
    <n v="81.548349999999999"/>
  </r>
  <r>
    <x v="0"/>
    <x v="1"/>
    <n v="82.849109999999996"/>
  </r>
  <r>
    <x v="0"/>
    <x v="2"/>
    <n v="82.379459999999995"/>
  </r>
  <r>
    <x v="0"/>
    <x v="3"/>
    <n v="89.954269999999994"/>
  </r>
  <r>
    <x v="1"/>
    <x v="0"/>
    <n v="95.884799999999998"/>
  </r>
  <r>
    <x v="1"/>
    <x v="1"/>
    <n v="94.63897"/>
  </r>
  <r>
    <x v="1"/>
    <x v="2"/>
    <n v="87.999200000000002"/>
  </r>
  <r>
    <x v="1"/>
    <x v="3"/>
    <n v="83.249309999999994"/>
  </r>
  <r>
    <x v="2"/>
    <x v="0"/>
    <n v="86.771870000000007"/>
  </r>
  <r>
    <x v="2"/>
    <x v="1"/>
    <n v="81.962109999999996"/>
  </r>
  <r>
    <x v="2"/>
    <x v="2"/>
    <n v="83.231830000000002"/>
  </r>
  <r>
    <x v="2"/>
    <x v="3"/>
    <n v="85.552350000000004"/>
  </r>
  <r>
    <x v="3"/>
    <x v="0"/>
    <n v="88.729600000000005"/>
  </r>
  <r>
    <x v="3"/>
    <x v="1"/>
    <n v="86.26052"/>
  </r>
  <r>
    <x v="3"/>
    <x v="2"/>
    <n v="88.097899999999996"/>
  </r>
  <r>
    <x v="3"/>
    <x v="3"/>
    <n v="92.525700000000001"/>
  </r>
  <r>
    <x v="4"/>
    <x v="0"/>
    <n v="97.574209999999994"/>
  </r>
  <r>
    <x v="4"/>
    <x v="1"/>
    <n v="102.3635"/>
  </r>
  <r>
    <x v="4"/>
    <x v="2"/>
    <n v="106.95699999999999"/>
  </r>
  <r>
    <x v="4"/>
    <x v="3"/>
    <n v="101.4247"/>
  </r>
  <r>
    <x v="5"/>
    <x v="0"/>
    <n v="103.56480000000001"/>
  </r>
  <r>
    <x v="5"/>
    <x v="1"/>
    <n v="105.18819999999999"/>
  </r>
  <r>
    <x v="5"/>
    <x v="2"/>
    <n v="97.522139999999993"/>
  </r>
  <r>
    <x v="5"/>
    <x v="3"/>
    <n v="93.724810000000005"/>
  </r>
  <r>
    <x v="6"/>
    <x v="0"/>
    <n v="89.251159999999999"/>
  </r>
  <r>
    <x v="6"/>
    <x v="1"/>
    <n v="96.583860000000001"/>
  </r>
  <r>
    <x v="6"/>
    <x v="2"/>
    <n v="101.6934"/>
  </r>
  <r>
    <x v="6"/>
    <x v="3"/>
    <n v="104.13030000000001"/>
  </r>
  <r>
    <x v="7"/>
    <x v="0"/>
    <n v="108.4272"/>
  </r>
  <r>
    <x v="7"/>
    <x v="1"/>
    <n v="107.9365"/>
  </r>
  <r>
    <x v="7"/>
    <x v="2"/>
    <n v="105.88849999999999"/>
  </r>
  <r>
    <x v="7"/>
    <x v="3"/>
    <n v="111.4751"/>
  </r>
  <r>
    <x v="8"/>
    <x v="0"/>
    <n v="109.6913"/>
  </r>
  <r>
    <x v="8"/>
    <x v="1"/>
    <n v="110.6687"/>
  </r>
  <r>
    <x v="8"/>
    <x v="2"/>
    <n v="113.6619"/>
  </r>
  <r>
    <x v="8"/>
    <x v="3"/>
    <n v="104.7972"/>
  </r>
  <r>
    <x v="9"/>
    <x v="0"/>
    <n v="109.1031"/>
  </r>
  <r>
    <x v="9"/>
    <x v="1"/>
    <n v="114.1865"/>
  </r>
  <r>
    <x v="9"/>
    <x v="2"/>
    <n v="114.89660000000001"/>
  </r>
  <r>
    <x v="9"/>
    <x v="3"/>
    <n v="117.0793"/>
  </r>
  <r>
    <x v="10"/>
    <x v="0"/>
    <n v="113.1711"/>
  </r>
  <r>
    <x v="10"/>
    <x v="1"/>
    <n v="103.3257"/>
  </r>
  <r>
    <x v="10"/>
    <x v="2"/>
    <n v="113.2623"/>
  </r>
  <r>
    <x v="10"/>
    <x v="3"/>
    <n v="117.4307"/>
  </r>
  <r>
    <x v="11"/>
    <x v="0"/>
    <n v="127.229"/>
  </r>
  <r>
    <x v="11"/>
    <x v="1"/>
    <n v="136.49809999999999"/>
  </r>
  <r>
    <x v="11"/>
    <x v="2"/>
    <n v="142.14060000000001"/>
  </r>
  <r>
    <x v="11"/>
    <x v="3"/>
    <n v="146.7877"/>
  </r>
  <r>
    <x v="12"/>
    <x v="0"/>
    <n v="148.52099999999999"/>
  </r>
  <r>
    <x v="12"/>
    <x v="1"/>
    <n v="143.51480000000001"/>
  </r>
  <r>
    <x v="12"/>
    <x v="2"/>
    <n v="134.6974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9DC2D67-7D11-4991-97E9-0135F93FF436}" name="Tableau croisé dynamique7" cacheId="0" applyNumberFormats="0" applyBorderFormats="0" applyFontFormats="0" applyPatternFormats="0" applyAlignmentFormats="0" applyWidthHeightFormats="1" dataCaption="Valeurs" updatedVersion="7" minRefreshableVersion="3" useAutoFormatting="1" itemPrintTitles="1" createdVersion="7" indent="0" outline="1" outlineData="1" multipleFieldFilters="0">
  <location ref="E1:J16" firstHeaderRow="1" firstDataRow="2" firstDataCol="1"/>
  <pivotFields count="3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dataField="1" numFmtId="2"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omme des Valeurs" fld="2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0F493-BE70-4851-8B8C-B789812502CA}">
  <dimension ref="A1:T81"/>
  <sheetViews>
    <sheetView showGridLines="0" topLeftCell="C54" zoomScaleNormal="100" workbookViewId="0">
      <selection activeCell="R73" sqref="R73"/>
    </sheetView>
  </sheetViews>
  <sheetFormatPr baseColWidth="10" defaultRowHeight="15" x14ac:dyDescent="0.25"/>
  <cols>
    <col min="1" max="2" width="11.42578125" style="22"/>
    <col min="3" max="3" width="11.42578125" style="46"/>
    <col min="4" max="4" width="3.140625" style="41" customWidth="1"/>
    <col min="5" max="5" width="21" bestFit="1" customWidth="1"/>
    <col min="6" max="6" width="32.7109375" bestFit="1" customWidth="1"/>
    <col min="7" max="7" width="19.28515625" bestFit="1" customWidth="1"/>
    <col min="8" max="9" width="12" bestFit="1" customWidth="1"/>
    <col min="10" max="10" width="12.5703125" bestFit="1" customWidth="1"/>
    <col min="11" max="11" width="10.7109375" bestFit="1" customWidth="1"/>
    <col min="12" max="12" width="33.85546875" bestFit="1" customWidth="1"/>
    <col min="13" max="15" width="8.5703125" bestFit="1" customWidth="1"/>
    <col min="16" max="16" width="11.140625" bestFit="1" customWidth="1"/>
  </cols>
  <sheetData>
    <row r="1" spans="1:13" ht="15.75" x14ac:dyDescent="0.25">
      <c r="A1" s="68" t="s">
        <v>1</v>
      </c>
      <c r="B1" s="68" t="s">
        <v>2</v>
      </c>
      <c r="C1" s="69" t="s">
        <v>11</v>
      </c>
      <c r="D1" s="40"/>
      <c r="E1" s="29" t="s">
        <v>45</v>
      </c>
      <c r="F1" s="29" t="s">
        <v>42</v>
      </c>
    </row>
    <row r="2" spans="1:13" ht="15.75" x14ac:dyDescent="0.25">
      <c r="A2" s="42">
        <v>2010</v>
      </c>
      <c r="B2" s="22" t="s">
        <v>13</v>
      </c>
      <c r="C2" s="45">
        <v>81.548349999999999</v>
      </c>
      <c r="E2" s="29" t="s">
        <v>40</v>
      </c>
      <c r="F2" t="s">
        <v>13</v>
      </c>
      <c r="G2" t="s">
        <v>14</v>
      </c>
      <c r="H2" t="s">
        <v>15</v>
      </c>
      <c r="I2" t="s">
        <v>16</v>
      </c>
      <c r="J2" t="s">
        <v>41</v>
      </c>
      <c r="L2" s="32" t="s">
        <v>46</v>
      </c>
      <c r="M2" s="25">
        <f>AVERAGE(C:C)</f>
        <v>104.82360450980391</v>
      </c>
    </row>
    <row r="3" spans="1:13" ht="15.75" x14ac:dyDescent="0.25">
      <c r="A3" s="42">
        <v>2010</v>
      </c>
      <c r="B3" s="22" t="s">
        <v>14</v>
      </c>
      <c r="C3" s="44">
        <v>82.849109999999996</v>
      </c>
      <c r="E3" s="30">
        <v>2010</v>
      </c>
      <c r="F3" s="31">
        <v>81.548349999999999</v>
      </c>
      <c r="G3" s="31">
        <v>82.849109999999996</v>
      </c>
      <c r="H3" s="31">
        <v>82.379459999999995</v>
      </c>
      <c r="I3" s="31">
        <v>89.954269999999994</v>
      </c>
      <c r="J3" s="31">
        <v>336.73118999999997</v>
      </c>
      <c r="L3" s="32" t="s">
        <v>47</v>
      </c>
      <c r="M3" s="25">
        <f>STDEV(C:C)</f>
        <v>17.77490761273609</v>
      </c>
    </row>
    <row r="4" spans="1:13" ht="15.75" x14ac:dyDescent="0.25">
      <c r="A4" s="42">
        <v>2010</v>
      </c>
      <c r="B4" s="22" t="s">
        <v>15</v>
      </c>
      <c r="C4" s="44">
        <v>82.379459999999995</v>
      </c>
      <c r="E4" s="30">
        <v>2011</v>
      </c>
      <c r="F4" s="31">
        <v>95.884799999999998</v>
      </c>
      <c r="G4" s="31">
        <v>94.63897</v>
      </c>
      <c r="H4" s="31">
        <v>87.999200000000002</v>
      </c>
      <c r="I4" s="31">
        <v>83.249309999999994</v>
      </c>
      <c r="J4" s="31">
        <v>361.77227999999997</v>
      </c>
      <c r="L4" s="32" t="s">
        <v>48</v>
      </c>
      <c r="M4" s="25">
        <f>M3/M2</f>
        <v>0.16956970422700587</v>
      </c>
    </row>
    <row r="5" spans="1:13" x14ac:dyDescent="0.25">
      <c r="A5" s="42">
        <v>2010</v>
      </c>
      <c r="B5" s="22" t="s">
        <v>16</v>
      </c>
      <c r="C5" s="44">
        <v>89.954269999999994</v>
      </c>
      <c r="E5" s="30">
        <v>2012</v>
      </c>
      <c r="F5" s="31">
        <v>86.771870000000007</v>
      </c>
      <c r="G5" s="31">
        <v>81.962109999999996</v>
      </c>
      <c r="H5" s="31">
        <v>83.231830000000002</v>
      </c>
      <c r="I5" s="31">
        <v>85.552350000000004</v>
      </c>
      <c r="J5" s="31">
        <v>337.51816000000002</v>
      </c>
    </row>
    <row r="6" spans="1:13" x14ac:dyDescent="0.25">
      <c r="A6" s="42">
        <v>2011</v>
      </c>
      <c r="B6" s="22" t="s">
        <v>13</v>
      </c>
      <c r="C6" s="44">
        <v>95.884799999999998</v>
      </c>
      <c r="E6" s="30">
        <v>2013</v>
      </c>
      <c r="F6" s="31">
        <v>88.729600000000005</v>
      </c>
      <c r="G6" s="31">
        <v>86.26052</v>
      </c>
      <c r="H6" s="31">
        <v>88.097899999999996</v>
      </c>
      <c r="I6" s="31">
        <v>92.525700000000001</v>
      </c>
      <c r="J6" s="31">
        <v>355.61371999999994</v>
      </c>
    </row>
    <row r="7" spans="1:13" x14ac:dyDescent="0.25">
      <c r="A7" s="42">
        <v>2011</v>
      </c>
      <c r="B7" s="22" t="s">
        <v>14</v>
      </c>
      <c r="C7" s="44">
        <v>94.63897</v>
      </c>
      <c r="E7" s="30">
        <v>2014</v>
      </c>
      <c r="F7" s="31">
        <v>97.574209999999994</v>
      </c>
      <c r="G7" s="31">
        <v>102.3635</v>
      </c>
      <c r="H7" s="31">
        <v>106.95699999999999</v>
      </c>
      <c r="I7" s="31">
        <v>101.4247</v>
      </c>
      <c r="J7" s="31">
        <v>408.31940999999995</v>
      </c>
    </row>
    <row r="8" spans="1:13" x14ac:dyDescent="0.25">
      <c r="A8" s="42">
        <v>2011</v>
      </c>
      <c r="B8" s="22" t="s">
        <v>15</v>
      </c>
      <c r="C8" s="44">
        <v>87.999200000000002</v>
      </c>
      <c r="E8" s="30">
        <v>2015</v>
      </c>
      <c r="F8" s="31">
        <v>103.56480000000001</v>
      </c>
      <c r="G8" s="31">
        <v>105.18819999999999</v>
      </c>
      <c r="H8" s="31">
        <v>97.522139999999993</v>
      </c>
      <c r="I8" s="31">
        <v>93.724810000000005</v>
      </c>
      <c r="J8" s="31">
        <v>399.99994999999996</v>
      </c>
    </row>
    <row r="9" spans="1:13" x14ac:dyDescent="0.25">
      <c r="A9" s="42">
        <v>2011</v>
      </c>
      <c r="B9" s="22" t="s">
        <v>16</v>
      </c>
      <c r="C9" s="44">
        <v>83.249309999999994</v>
      </c>
      <c r="E9" s="30">
        <v>2016</v>
      </c>
      <c r="F9" s="31">
        <v>89.251159999999999</v>
      </c>
      <c r="G9" s="31">
        <v>96.583860000000001</v>
      </c>
      <c r="H9" s="31">
        <v>101.6934</v>
      </c>
      <c r="I9" s="31">
        <v>104.13030000000001</v>
      </c>
      <c r="J9" s="31">
        <v>391.65872000000002</v>
      </c>
    </row>
    <row r="10" spans="1:13" x14ac:dyDescent="0.25">
      <c r="A10" s="42">
        <v>2012</v>
      </c>
      <c r="B10" s="22" t="s">
        <v>13</v>
      </c>
      <c r="C10" s="44">
        <v>86.771870000000007</v>
      </c>
      <c r="E10" s="30">
        <v>2017</v>
      </c>
      <c r="F10" s="31">
        <v>108.4272</v>
      </c>
      <c r="G10" s="31">
        <v>107.9365</v>
      </c>
      <c r="H10" s="31">
        <v>105.88849999999999</v>
      </c>
      <c r="I10" s="31">
        <v>111.4751</v>
      </c>
      <c r="J10" s="31">
        <v>433.72730000000001</v>
      </c>
    </row>
    <row r="11" spans="1:13" x14ac:dyDescent="0.25">
      <c r="A11" s="42">
        <v>2012</v>
      </c>
      <c r="B11" s="22" t="s">
        <v>14</v>
      </c>
      <c r="C11" s="44">
        <v>81.962109999999996</v>
      </c>
      <c r="E11" s="30">
        <v>2018</v>
      </c>
      <c r="F11" s="31">
        <v>109.6913</v>
      </c>
      <c r="G11" s="31">
        <v>110.6687</v>
      </c>
      <c r="H11" s="31">
        <v>113.6619</v>
      </c>
      <c r="I11" s="31">
        <v>104.7972</v>
      </c>
      <c r="J11" s="31">
        <v>438.81910000000005</v>
      </c>
    </row>
    <row r="12" spans="1:13" x14ac:dyDescent="0.25">
      <c r="A12" s="42">
        <v>2012</v>
      </c>
      <c r="B12" s="22" t="s">
        <v>15</v>
      </c>
      <c r="C12" s="44">
        <v>83.231830000000002</v>
      </c>
      <c r="E12" s="30">
        <v>2019</v>
      </c>
      <c r="F12" s="31">
        <v>109.1031</v>
      </c>
      <c r="G12" s="31">
        <v>114.1865</v>
      </c>
      <c r="H12" s="31">
        <v>114.89660000000001</v>
      </c>
      <c r="I12" s="31">
        <v>117.0793</v>
      </c>
      <c r="J12" s="31">
        <v>455.26549999999997</v>
      </c>
    </row>
    <row r="13" spans="1:13" x14ac:dyDescent="0.25">
      <c r="A13" s="42">
        <v>2012</v>
      </c>
      <c r="B13" s="22" t="s">
        <v>16</v>
      </c>
      <c r="C13" s="44">
        <v>85.552350000000004</v>
      </c>
      <c r="E13" s="30">
        <v>2020</v>
      </c>
      <c r="F13" s="31">
        <v>113.1711</v>
      </c>
      <c r="G13" s="31">
        <v>103.3257</v>
      </c>
      <c r="H13" s="31">
        <v>113.2623</v>
      </c>
      <c r="I13" s="31">
        <v>117.4307</v>
      </c>
      <c r="J13" s="31">
        <v>447.18979999999999</v>
      </c>
    </row>
    <row r="14" spans="1:13" x14ac:dyDescent="0.25">
      <c r="A14" s="42">
        <v>2013</v>
      </c>
      <c r="B14" s="22" t="s">
        <v>13</v>
      </c>
      <c r="C14" s="44">
        <v>88.729600000000005</v>
      </c>
      <c r="E14" s="30">
        <v>2021</v>
      </c>
      <c r="F14" s="31">
        <v>127.229</v>
      </c>
      <c r="G14" s="31">
        <v>136.49809999999999</v>
      </c>
      <c r="H14" s="31">
        <v>142.14060000000001</v>
      </c>
      <c r="I14" s="31">
        <v>146.7877</v>
      </c>
      <c r="J14" s="31">
        <v>552.65539999999999</v>
      </c>
    </row>
    <row r="15" spans="1:13" x14ac:dyDescent="0.25">
      <c r="A15" s="42">
        <v>2013</v>
      </c>
      <c r="B15" s="22" t="s">
        <v>14</v>
      </c>
      <c r="C15" s="44">
        <v>86.26052</v>
      </c>
      <c r="E15" s="30">
        <v>2022</v>
      </c>
      <c r="F15" s="31">
        <v>148.52099999999999</v>
      </c>
      <c r="G15" s="31">
        <v>143.51480000000001</v>
      </c>
      <c r="H15" s="31">
        <v>134.69749999999999</v>
      </c>
      <c r="I15" s="31"/>
      <c r="J15" s="31">
        <v>426.73329999999999</v>
      </c>
    </row>
    <row r="16" spans="1:13" x14ac:dyDescent="0.25">
      <c r="A16" s="42">
        <v>2013</v>
      </c>
      <c r="B16" s="22" t="s">
        <v>15</v>
      </c>
      <c r="C16" s="44">
        <v>88.097899999999996</v>
      </c>
      <c r="E16" s="30" t="s">
        <v>41</v>
      </c>
      <c r="F16" s="31">
        <v>1359.46749</v>
      </c>
      <c r="G16" s="31">
        <v>1365.97657</v>
      </c>
      <c r="H16" s="31">
        <v>1372.4283300000002</v>
      </c>
      <c r="I16" s="31">
        <v>1248.1314400000001</v>
      </c>
      <c r="J16" s="31">
        <v>5346.0038299999997</v>
      </c>
    </row>
    <row r="17" spans="1:7" ht="15.75" thickBot="1" x14ac:dyDescent="0.3">
      <c r="A17" s="42">
        <v>2013</v>
      </c>
      <c r="B17" s="22" t="s">
        <v>16</v>
      </c>
      <c r="C17" s="44">
        <v>92.525700000000001</v>
      </c>
    </row>
    <row r="18" spans="1:7" ht="15.75" x14ac:dyDescent="0.25">
      <c r="A18" s="42">
        <v>2014</v>
      </c>
      <c r="B18" s="22" t="s">
        <v>13</v>
      </c>
      <c r="C18" s="44">
        <v>97.574209999999994</v>
      </c>
      <c r="E18" s="37" t="s">
        <v>51</v>
      </c>
      <c r="F18" s="37" t="s">
        <v>49</v>
      </c>
      <c r="G18" s="38" t="s">
        <v>50</v>
      </c>
    </row>
    <row r="19" spans="1:7" x14ac:dyDescent="0.25">
      <c r="A19" s="42">
        <v>2014</v>
      </c>
      <c r="B19" s="22" t="s">
        <v>14</v>
      </c>
      <c r="C19" s="44">
        <v>102.3635</v>
      </c>
      <c r="E19" s="62">
        <v>2010</v>
      </c>
      <c r="F19" s="33">
        <f>AVERAGE(F3:I3)</f>
        <v>84.182797499999992</v>
      </c>
      <c r="G19" s="63" t="s">
        <v>44</v>
      </c>
    </row>
    <row r="20" spans="1:7" x14ac:dyDescent="0.25">
      <c r="A20" s="42">
        <v>2014</v>
      </c>
      <c r="B20" s="22" t="s">
        <v>15</v>
      </c>
      <c r="C20" s="44">
        <v>106.95699999999999</v>
      </c>
      <c r="E20" s="39">
        <v>2011</v>
      </c>
      <c r="F20" s="33">
        <f t="shared" ref="F20:F31" si="0">AVERAGE(F4:I4)</f>
        <v>90.443069999999992</v>
      </c>
      <c r="G20" s="35">
        <f>(F20-F19)/F19</f>
        <v>7.4365222894855684E-2</v>
      </c>
    </row>
    <row r="21" spans="1:7" x14ac:dyDescent="0.25">
      <c r="A21" s="42">
        <v>2014</v>
      </c>
      <c r="B21" s="22" t="s">
        <v>16</v>
      </c>
      <c r="C21" s="44">
        <v>101.4247</v>
      </c>
      <c r="E21" s="62">
        <v>2012</v>
      </c>
      <c r="F21" s="64">
        <f t="shared" si="0"/>
        <v>84.379540000000006</v>
      </c>
      <c r="G21" s="35">
        <f t="shared" ref="G21:G31" si="1">(F21-F20)/F20</f>
        <v>-6.7042505301953881E-2</v>
      </c>
    </row>
    <row r="22" spans="1:7" x14ac:dyDescent="0.25">
      <c r="A22" s="42">
        <v>2015</v>
      </c>
      <c r="B22" s="22" t="s">
        <v>13</v>
      </c>
      <c r="C22" s="44">
        <v>103.56480000000001</v>
      </c>
      <c r="E22" s="39">
        <v>2013</v>
      </c>
      <c r="F22" s="33">
        <f t="shared" si="0"/>
        <v>88.903429999999986</v>
      </c>
      <c r="G22" s="35">
        <f t="shared" si="1"/>
        <v>5.3613589265833636E-2</v>
      </c>
    </row>
    <row r="23" spans="1:7" x14ac:dyDescent="0.25">
      <c r="A23" s="42">
        <v>2015</v>
      </c>
      <c r="B23" s="22" t="s">
        <v>14</v>
      </c>
      <c r="C23" s="44">
        <v>105.18819999999999</v>
      </c>
      <c r="E23" s="62">
        <v>2014</v>
      </c>
      <c r="F23" s="64">
        <f t="shared" si="0"/>
        <v>102.07985249999999</v>
      </c>
      <c r="G23" s="65">
        <f t="shared" si="1"/>
        <v>0.14821050773856534</v>
      </c>
    </row>
    <row r="24" spans="1:7" x14ac:dyDescent="0.25">
      <c r="A24" s="42">
        <v>2015</v>
      </c>
      <c r="B24" s="22" t="s">
        <v>15</v>
      </c>
      <c r="C24" s="44">
        <v>97.522139999999993</v>
      </c>
      <c r="E24" s="39">
        <v>2015</v>
      </c>
      <c r="F24" s="33">
        <f t="shared" si="0"/>
        <v>99.999987499999989</v>
      </c>
      <c r="G24" s="35">
        <f t="shared" si="1"/>
        <v>-2.0374882497013781E-2</v>
      </c>
    </row>
    <row r="25" spans="1:7" x14ac:dyDescent="0.25">
      <c r="A25" s="42">
        <v>2015</v>
      </c>
      <c r="B25" s="22" t="s">
        <v>16</v>
      </c>
      <c r="C25" s="44">
        <v>93.724810000000005</v>
      </c>
      <c r="E25" s="62">
        <v>2016</v>
      </c>
      <c r="F25" s="64">
        <f t="shared" si="0"/>
        <v>97.914680000000004</v>
      </c>
      <c r="G25" s="65">
        <f t="shared" si="1"/>
        <v>-2.0853077606634549E-2</v>
      </c>
    </row>
    <row r="26" spans="1:7" x14ac:dyDescent="0.25">
      <c r="A26" s="42">
        <v>2016</v>
      </c>
      <c r="B26" s="22" t="s">
        <v>13</v>
      </c>
      <c r="C26" s="44">
        <v>89.251159999999999</v>
      </c>
      <c r="E26" s="39">
        <v>2017</v>
      </c>
      <c r="F26" s="33">
        <f t="shared" si="0"/>
        <v>108.431825</v>
      </c>
      <c r="G26" s="35">
        <f t="shared" si="1"/>
        <v>0.10741131973264886</v>
      </c>
    </row>
    <row r="27" spans="1:7" x14ac:dyDescent="0.25">
      <c r="A27" s="42">
        <v>2016</v>
      </c>
      <c r="B27" s="22" t="s">
        <v>14</v>
      </c>
      <c r="C27" s="44">
        <v>96.583860000000001</v>
      </c>
      <c r="E27" s="62">
        <v>2018</v>
      </c>
      <c r="F27" s="64">
        <f t="shared" si="0"/>
        <v>109.70477500000001</v>
      </c>
      <c r="G27" s="65">
        <f t="shared" si="1"/>
        <v>1.1739634558396566E-2</v>
      </c>
    </row>
    <row r="28" spans="1:7" x14ac:dyDescent="0.25">
      <c r="A28" s="42">
        <v>2016</v>
      </c>
      <c r="B28" s="22" t="s">
        <v>15</v>
      </c>
      <c r="C28" s="44">
        <v>101.6934</v>
      </c>
      <c r="E28" s="39">
        <v>2019</v>
      </c>
      <c r="F28" s="33">
        <f t="shared" si="0"/>
        <v>113.81637499999999</v>
      </c>
      <c r="G28" s="35">
        <f t="shared" si="1"/>
        <v>3.7478769725383249E-2</v>
      </c>
    </row>
    <row r="29" spans="1:7" x14ac:dyDescent="0.25">
      <c r="A29" s="42">
        <v>2016</v>
      </c>
      <c r="B29" s="22" t="s">
        <v>16</v>
      </c>
      <c r="C29" s="44">
        <v>104.13030000000001</v>
      </c>
      <c r="E29" s="62">
        <v>2020</v>
      </c>
      <c r="F29" s="64">
        <f t="shared" si="0"/>
        <v>111.79745</v>
      </c>
      <c r="G29" s="65">
        <f t="shared" si="1"/>
        <v>-1.773844053634634E-2</v>
      </c>
    </row>
    <row r="30" spans="1:7" x14ac:dyDescent="0.25">
      <c r="A30" s="42">
        <v>2017</v>
      </c>
      <c r="B30" s="22" t="s">
        <v>13</v>
      </c>
      <c r="C30" s="44">
        <v>108.4272</v>
      </c>
      <c r="E30" s="39">
        <v>2021</v>
      </c>
      <c r="F30" s="33">
        <f t="shared" si="0"/>
        <v>138.16385</v>
      </c>
      <c r="G30" s="35">
        <f t="shared" si="1"/>
        <v>0.23584079958889939</v>
      </c>
    </row>
    <row r="31" spans="1:7" ht="15.75" thickBot="1" x14ac:dyDescent="0.3">
      <c r="A31" s="42">
        <v>2017</v>
      </c>
      <c r="B31" s="22" t="s">
        <v>14</v>
      </c>
      <c r="C31" s="44">
        <v>107.9365</v>
      </c>
      <c r="E31" s="66">
        <v>2022</v>
      </c>
      <c r="F31" s="36">
        <f t="shared" si="0"/>
        <v>142.24443333333332</v>
      </c>
      <c r="G31" s="67">
        <f t="shared" si="1"/>
        <v>2.9534377721331034E-2</v>
      </c>
    </row>
    <row r="32" spans="1:7" ht="15.75" thickBot="1" x14ac:dyDescent="0.3">
      <c r="A32" s="42">
        <v>2017</v>
      </c>
      <c r="B32" s="22" t="s">
        <v>15</v>
      </c>
      <c r="C32" s="44">
        <v>105.88849999999999</v>
      </c>
    </row>
    <row r="33" spans="1:20" ht="16.5" thickBot="1" x14ac:dyDescent="0.3">
      <c r="A33" s="42">
        <v>2017</v>
      </c>
      <c r="B33" s="22" t="s">
        <v>16</v>
      </c>
      <c r="C33" s="44">
        <v>111.4751</v>
      </c>
      <c r="D33" s="47"/>
      <c r="E33" s="48" t="s">
        <v>51</v>
      </c>
      <c r="F33" s="49" t="s">
        <v>56</v>
      </c>
      <c r="G33" s="49" t="s">
        <v>57</v>
      </c>
      <c r="H33" s="49" t="s">
        <v>58</v>
      </c>
      <c r="I33" s="49" t="s">
        <v>59</v>
      </c>
      <c r="J33" s="50" t="s">
        <v>52</v>
      </c>
      <c r="K33" s="50" t="s">
        <v>53</v>
      </c>
      <c r="L33" s="50" t="s">
        <v>54</v>
      </c>
      <c r="M33" s="50" t="s">
        <v>13</v>
      </c>
      <c r="N33" s="50" t="s">
        <v>14</v>
      </c>
      <c r="O33" s="50" t="s">
        <v>15</v>
      </c>
      <c r="P33" s="51" t="s">
        <v>55</v>
      </c>
    </row>
    <row r="34" spans="1:20" x14ac:dyDescent="0.25">
      <c r="A34" s="42">
        <v>2018</v>
      </c>
      <c r="B34" s="22" t="s">
        <v>13</v>
      </c>
      <c r="C34" s="44">
        <v>109.6913</v>
      </c>
      <c r="D34" s="47"/>
      <c r="E34" s="52">
        <v>2010</v>
      </c>
      <c r="F34" s="53">
        <v>81.548349999999999</v>
      </c>
      <c r="G34" s="53">
        <v>82.849109999999996</v>
      </c>
      <c r="H34" s="53">
        <v>82.379459999999995</v>
      </c>
      <c r="I34" s="53">
        <v>89.954269999999994</v>
      </c>
      <c r="J34" s="54">
        <f>MIN(F34:I34)</f>
        <v>81.548349999999999</v>
      </c>
      <c r="K34" s="54">
        <f>MAX(F34:I34)</f>
        <v>89.954269999999994</v>
      </c>
      <c r="L34" s="54">
        <f>AVERAGE(F34:I34)</f>
        <v>84.182797499999992</v>
      </c>
      <c r="M34" s="54">
        <f>QUARTILE(F34:I34,1)</f>
        <v>82.171682500000003</v>
      </c>
      <c r="N34" s="54">
        <f>QUARTILE(F34:I34,2)</f>
        <v>82.614284999999995</v>
      </c>
      <c r="O34" s="54">
        <f>QUARTILE(F34:I34,3)</f>
        <v>84.625399999999999</v>
      </c>
      <c r="P34" s="55">
        <f>STDEV(F34:I34)</f>
        <v>3.8850549946804684</v>
      </c>
    </row>
    <row r="35" spans="1:20" x14ac:dyDescent="0.25">
      <c r="A35" s="42">
        <v>2018</v>
      </c>
      <c r="B35" s="22" t="s">
        <v>14</v>
      </c>
      <c r="C35" s="44">
        <v>110.6687</v>
      </c>
      <c r="D35" s="47"/>
      <c r="E35" s="34">
        <v>2011</v>
      </c>
      <c r="F35" s="22">
        <v>95.884799999999998</v>
      </c>
      <c r="G35" s="22">
        <v>94.63897</v>
      </c>
      <c r="H35" s="22">
        <v>87.999200000000002</v>
      </c>
      <c r="I35" s="22">
        <v>83.249309999999994</v>
      </c>
      <c r="J35" s="25">
        <f t="shared" ref="J35:J45" si="2">MIN(F35:I35)</f>
        <v>83.249309999999994</v>
      </c>
      <c r="K35" s="25">
        <f t="shared" ref="K35:K46" si="3">MAX(F35:I35)</f>
        <v>95.884799999999998</v>
      </c>
      <c r="L35" s="25">
        <f t="shared" ref="L35:L46" si="4">AVERAGE(F35:I35)</f>
        <v>90.443069999999992</v>
      </c>
      <c r="M35" s="25">
        <f t="shared" ref="M35:M46" si="5">QUARTILE(F35:I35,1)</f>
        <v>86.811727500000003</v>
      </c>
      <c r="N35" s="25">
        <f t="shared" ref="N35:N46" si="6">QUARTILE(F35:I35,2)</f>
        <v>91.319085000000001</v>
      </c>
      <c r="O35" s="25">
        <f t="shared" ref="O35:O46" si="7">QUARTILE(F35:I35,3)</f>
        <v>94.950427500000004</v>
      </c>
      <c r="P35" s="3">
        <f t="shared" ref="P35:P46" si="8">STDEV(F35:I35)</f>
        <v>5.914408556437972</v>
      </c>
    </row>
    <row r="36" spans="1:20" x14ac:dyDescent="0.25">
      <c r="A36" s="42">
        <v>2018</v>
      </c>
      <c r="B36" s="22" t="s">
        <v>15</v>
      </c>
      <c r="C36" s="44">
        <v>113.6619</v>
      </c>
      <c r="D36" s="47"/>
      <c r="E36" s="56">
        <v>2012</v>
      </c>
      <c r="F36" s="57">
        <v>86.771870000000007</v>
      </c>
      <c r="G36" s="57">
        <v>81.962109999999996</v>
      </c>
      <c r="H36" s="57">
        <v>83.231830000000002</v>
      </c>
      <c r="I36" s="57">
        <v>85.552350000000004</v>
      </c>
      <c r="J36" s="58">
        <f t="shared" si="2"/>
        <v>81.962109999999996</v>
      </c>
      <c r="K36" s="58">
        <f t="shared" si="3"/>
        <v>86.771870000000007</v>
      </c>
      <c r="L36" s="58">
        <f t="shared" si="4"/>
        <v>84.379540000000006</v>
      </c>
      <c r="M36" s="58">
        <f t="shared" si="5"/>
        <v>82.914400000000001</v>
      </c>
      <c r="N36" s="58">
        <f t="shared" si="6"/>
        <v>84.392089999999996</v>
      </c>
      <c r="O36" s="58">
        <f t="shared" si="7"/>
        <v>85.857230000000001</v>
      </c>
      <c r="P36" s="13">
        <f t="shared" si="8"/>
        <v>2.1802088717979951</v>
      </c>
    </row>
    <row r="37" spans="1:20" x14ac:dyDescent="0.25">
      <c r="A37" s="42">
        <v>2018</v>
      </c>
      <c r="B37" s="22" t="s">
        <v>16</v>
      </c>
      <c r="C37" s="44">
        <v>104.7972</v>
      </c>
      <c r="D37" s="47"/>
      <c r="E37" s="34">
        <v>2013</v>
      </c>
      <c r="F37" s="22">
        <v>88.729600000000005</v>
      </c>
      <c r="G37" s="22">
        <v>86.26052</v>
      </c>
      <c r="H37" s="22">
        <v>88.097899999999996</v>
      </c>
      <c r="I37" s="22">
        <v>92.525700000000001</v>
      </c>
      <c r="J37" s="25">
        <f t="shared" si="2"/>
        <v>86.26052</v>
      </c>
      <c r="K37" s="25">
        <f t="shared" si="3"/>
        <v>92.525700000000001</v>
      </c>
      <c r="L37" s="25">
        <f t="shared" si="4"/>
        <v>88.903429999999986</v>
      </c>
      <c r="M37" s="25">
        <f t="shared" si="5"/>
        <v>87.638554999999997</v>
      </c>
      <c r="N37" s="25">
        <f t="shared" si="6"/>
        <v>88.413749999999993</v>
      </c>
      <c r="O37" s="25">
        <f t="shared" si="7"/>
        <v>89.678625000000011</v>
      </c>
      <c r="P37" s="3">
        <f t="shared" si="8"/>
        <v>2.6321669571413344</v>
      </c>
    </row>
    <row r="38" spans="1:20" x14ac:dyDescent="0.25">
      <c r="A38" s="42">
        <v>2019</v>
      </c>
      <c r="B38" s="22" t="s">
        <v>13</v>
      </c>
      <c r="C38" s="44">
        <v>109.1031</v>
      </c>
      <c r="D38" s="47"/>
      <c r="E38" s="56">
        <v>2014</v>
      </c>
      <c r="F38" s="57">
        <v>97.574209999999994</v>
      </c>
      <c r="G38" s="57">
        <v>102.3635</v>
      </c>
      <c r="H38" s="57">
        <v>106.95699999999999</v>
      </c>
      <c r="I38" s="57">
        <v>101.4247</v>
      </c>
      <c r="J38" s="58">
        <f t="shared" si="2"/>
        <v>97.574209999999994</v>
      </c>
      <c r="K38" s="58">
        <f t="shared" si="3"/>
        <v>106.95699999999999</v>
      </c>
      <c r="L38" s="58">
        <f t="shared" si="4"/>
        <v>102.07985249999999</v>
      </c>
      <c r="M38" s="58">
        <f t="shared" si="5"/>
        <v>100.46207749999999</v>
      </c>
      <c r="N38" s="58">
        <f t="shared" si="6"/>
        <v>101.89410000000001</v>
      </c>
      <c r="O38" s="58">
        <f t="shared" si="7"/>
        <v>103.511875</v>
      </c>
      <c r="P38" s="13">
        <f t="shared" si="8"/>
        <v>3.8556046986637948</v>
      </c>
    </row>
    <row r="39" spans="1:20" x14ac:dyDescent="0.25">
      <c r="A39" s="42">
        <v>2019</v>
      </c>
      <c r="B39" s="22" t="s">
        <v>14</v>
      </c>
      <c r="C39" s="44">
        <v>114.1865</v>
      </c>
      <c r="D39" s="47"/>
      <c r="E39" s="34">
        <v>2015</v>
      </c>
      <c r="F39" s="22">
        <v>103.56480000000001</v>
      </c>
      <c r="G39" s="22">
        <v>105.18819999999999</v>
      </c>
      <c r="H39" s="22">
        <v>97.522139999999993</v>
      </c>
      <c r="I39" s="22">
        <v>93.724810000000005</v>
      </c>
      <c r="J39" s="25">
        <f t="shared" si="2"/>
        <v>93.724810000000005</v>
      </c>
      <c r="K39" s="25">
        <f t="shared" si="3"/>
        <v>105.18819999999999</v>
      </c>
      <c r="L39" s="25">
        <f t="shared" si="4"/>
        <v>99.999987499999989</v>
      </c>
      <c r="M39" s="25">
        <f t="shared" si="5"/>
        <v>96.572807499999996</v>
      </c>
      <c r="N39" s="25">
        <f t="shared" si="6"/>
        <v>100.54347</v>
      </c>
      <c r="O39" s="25">
        <f t="shared" si="7"/>
        <v>103.97065000000001</v>
      </c>
      <c r="P39" s="3">
        <f t="shared" si="8"/>
        <v>5.3273826592763465</v>
      </c>
    </row>
    <row r="40" spans="1:20" x14ac:dyDescent="0.25">
      <c r="A40" s="42">
        <v>2019</v>
      </c>
      <c r="B40" s="22" t="s">
        <v>15</v>
      </c>
      <c r="C40" s="44">
        <v>114.89660000000001</v>
      </c>
      <c r="D40" s="47"/>
      <c r="E40" s="56">
        <v>2016</v>
      </c>
      <c r="F40" s="57">
        <v>89.251159999999999</v>
      </c>
      <c r="G40" s="57">
        <v>96.583860000000001</v>
      </c>
      <c r="H40" s="57">
        <v>101.6934</v>
      </c>
      <c r="I40" s="57">
        <v>104.13030000000001</v>
      </c>
      <c r="J40" s="58">
        <f t="shared" si="2"/>
        <v>89.251159999999999</v>
      </c>
      <c r="K40" s="58">
        <f t="shared" si="3"/>
        <v>104.13030000000001</v>
      </c>
      <c r="L40" s="58">
        <f t="shared" si="4"/>
        <v>97.914680000000004</v>
      </c>
      <c r="M40" s="58">
        <f t="shared" si="5"/>
        <v>94.750685000000004</v>
      </c>
      <c r="N40" s="58">
        <f t="shared" si="6"/>
        <v>99.138630000000006</v>
      </c>
      <c r="O40" s="58">
        <f t="shared" si="7"/>
        <v>102.30262500000001</v>
      </c>
      <c r="P40" s="13">
        <f t="shared" si="8"/>
        <v>6.5762278317588736</v>
      </c>
    </row>
    <row r="41" spans="1:20" x14ac:dyDescent="0.25">
      <c r="A41" s="42">
        <v>2019</v>
      </c>
      <c r="B41" s="22" t="s">
        <v>16</v>
      </c>
      <c r="C41" s="44">
        <v>117.0793</v>
      </c>
      <c r="D41" s="47"/>
      <c r="E41" s="34">
        <v>2017</v>
      </c>
      <c r="F41" s="22">
        <v>108.4272</v>
      </c>
      <c r="G41" s="22">
        <v>107.9365</v>
      </c>
      <c r="H41" s="22">
        <v>105.88849999999999</v>
      </c>
      <c r="I41" s="22">
        <v>111.4751</v>
      </c>
      <c r="J41" s="25">
        <f t="shared" si="2"/>
        <v>105.88849999999999</v>
      </c>
      <c r="K41" s="25">
        <f t="shared" si="3"/>
        <v>111.4751</v>
      </c>
      <c r="L41" s="25">
        <f t="shared" si="4"/>
        <v>108.431825</v>
      </c>
      <c r="M41" s="25">
        <f t="shared" si="5"/>
        <v>107.42449999999999</v>
      </c>
      <c r="N41" s="25">
        <f t="shared" si="6"/>
        <v>108.18185</v>
      </c>
      <c r="O41" s="25">
        <f t="shared" si="7"/>
        <v>109.18917500000001</v>
      </c>
      <c r="P41" s="3">
        <f t="shared" si="8"/>
        <v>2.3076245381705132</v>
      </c>
      <c r="T41" t="s">
        <v>60</v>
      </c>
    </row>
    <row r="42" spans="1:20" x14ac:dyDescent="0.25">
      <c r="A42" s="42">
        <v>2020</v>
      </c>
      <c r="B42" s="22" t="s">
        <v>13</v>
      </c>
      <c r="C42" s="44">
        <v>113.1711</v>
      </c>
      <c r="D42" s="47"/>
      <c r="E42" s="56">
        <v>2018</v>
      </c>
      <c r="F42" s="57">
        <v>109.6913</v>
      </c>
      <c r="G42" s="57">
        <v>110.6687</v>
      </c>
      <c r="H42" s="57">
        <v>113.6619</v>
      </c>
      <c r="I42" s="57">
        <v>104.7972</v>
      </c>
      <c r="J42" s="58">
        <f t="shared" si="2"/>
        <v>104.7972</v>
      </c>
      <c r="K42" s="58">
        <f t="shared" si="3"/>
        <v>113.6619</v>
      </c>
      <c r="L42" s="58">
        <f t="shared" si="4"/>
        <v>109.70477500000001</v>
      </c>
      <c r="M42" s="58">
        <f t="shared" si="5"/>
        <v>108.467775</v>
      </c>
      <c r="N42" s="58">
        <f t="shared" si="6"/>
        <v>110.18</v>
      </c>
      <c r="O42" s="58">
        <f t="shared" si="7"/>
        <v>111.417</v>
      </c>
      <c r="P42" s="13">
        <f t="shared" si="8"/>
        <v>3.682049412464929</v>
      </c>
    </row>
    <row r="43" spans="1:20" x14ac:dyDescent="0.25">
      <c r="A43" s="42">
        <v>2020</v>
      </c>
      <c r="B43" s="22" t="s">
        <v>14</v>
      </c>
      <c r="C43" s="44">
        <v>103.3257</v>
      </c>
      <c r="D43" s="47"/>
      <c r="E43" s="34">
        <v>2019</v>
      </c>
      <c r="F43" s="22">
        <v>109.1031</v>
      </c>
      <c r="G43" s="22">
        <v>114.1865</v>
      </c>
      <c r="H43" s="22">
        <v>114.89660000000001</v>
      </c>
      <c r="I43" s="22">
        <v>117.0793</v>
      </c>
      <c r="J43" s="25">
        <f t="shared" si="2"/>
        <v>109.1031</v>
      </c>
      <c r="K43" s="25">
        <f t="shared" si="3"/>
        <v>117.0793</v>
      </c>
      <c r="L43" s="25">
        <f t="shared" si="4"/>
        <v>113.81637499999999</v>
      </c>
      <c r="M43" s="25">
        <f t="shared" si="5"/>
        <v>112.91565</v>
      </c>
      <c r="N43" s="25">
        <f t="shared" si="6"/>
        <v>114.54155</v>
      </c>
      <c r="O43" s="25">
        <f t="shared" si="7"/>
        <v>115.44227500000001</v>
      </c>
      <c r="P43" s="3">
        <f t="shared" si="8"/>
        <v>3.3746861260221941</v>
      </c>
    </row>
    <row r="44" spans="1:20" x14ac:dyDescent="0.25">
      <c r="A44" s="42">
        <v>2020</v>
      </c>
      <c r="B44" s="22" t="s">
        <v>15</v>
      </c>
      <c r="C44" s="44">
        <v>113.2623</v>
      </c>
      <c r="D44" s="47"/>
      <c r="E44" s="56">
        <v>2020</v>
      </c>
      <c r="F44" s="57">
        <v>113.1711</v>
      </c>
      <c r="G44" s="57">
        <v>103.3257</v>
      </c>
      <c r="H44" s="57">
        <v>113.2623</v>
      </c>
      <c r="I44" s="57">
        <v>117.4307</v>
      </c>
      <c r="J44" s="58">
        <f t="shared" si="2"/>
        <v>103.3257</v>
      </c>
      <c r="K44" s="58">
        <f t="shared" si="3"/>
        <v>117.4307</v>
      </c>
      <c r="L44" s="58">
        <f t="shared" si="4"/>
        <v>111.79745</v>
      </c>
      <c r="M44" s="58">
        <f t="shared" si="5"/>
        <v>110.70975</v>
      </c>
      <c r="N44" s="58">
        <f t="shared" si="6"/>
        <v>113.2167</v>
      </c>
      <c r="O44" s="58">
        <f t="shared" si="7"/>
        <v>114.3044</v>
      </c>
      <c r="P44" s="13">
        <f t="shared" si="8"/>
        <v>5.9871182124624873</v>
      </c>
    </row>
    <row r="45" spans="1:20" x14ac:dyDescent="0.25">
      <c r="A45" s="42">
        <v>2020</v>
      </c>
      <c r="B45" s="22" t="s">
        <v>16</v>
      </c>
      <c r="C45" s="44">
        <v>117.4307</v>
      </c>
      <c r="D45" s="47"/>
      <c r="E45" s="34">
        <v>2021</v>
      </c>
      <c r="F45" s="22">
        <v>127.229</v>
      </c>
      <c r="G45" s="22">
        <v>136.49809999999999</v>
      </c>
      <c r="H45" s="22">
        <v>142.14060000000001</v>
      </c>
      <c r="I45" s="22">
        <v>146.7877</v>
      </c>
      <c r="J45" s="25">
        <f t="shared" si="2"/>
        <v>127.229</v>
      </c>
      <c r="K45" s="25">
        <f t="shared" si="3"/>
        <v>146.7877</v>
      </c>
      <c r="L45" s="25">
        <f t="shared" si="4"/>
        <v>138.16385</v>
      </c>
      <c r="M45" s="25">
        <f t="shared" si="5"/>
        <v>134.180825</v>
      </c>
      <c r="N45" s="25">
        <f t="shared" si="6"/>
        <v>139.31934999999999</v>
      </c>
      <c r="O45" s="25">
        <f t="shared" si="7"/>
        <v>143.30237500000001</v>
      </c>
      <c r="P45" s="3">
        <f t="shared" si="8"/>
        <v>8.4168679243924629</v>
      </c>
    </row>
    <row r="46" spans="1:20" ht="15.75" thickBot="1" x14ac:dyDescent="0.3">
      <c r="A46" s="42">
        <v>2021</v>
      </c>
      <c r="B46" s="22" t="s">
        <v>13</v>
      </c>
      <c r="C46" s="44">
        <v>127.229</v>
      </c>
      <c r="D46" s="47"/>
      <c r="E46" s="59">
        <v>2022</v>
      </c>
      <c r="F46" s="60">
        <v>148.52099999999999</v>
      </c>
      <c r="G46" s="60">
        <v>143.51480000000001</v>
      </c>
      <c r="H46" s="60">
        <v>134.69749999999999</v>
      </c>
      <c r="I46" s="60"/>
      <c r="J46" s="61">
        <f>MIN(F46:I46)</f>
        <v>134.69749999999999</v>
      </c>
      <c r="K46" s="61">
        <f t="shared" si="3"/>
        <v>148.52099999999999</v>
      </c>
      <c r="L46" s="61">
        <f t="shared" si="4"/>
        <v>142.24443333333332</v>
      </c>
      <c r="M46" s="61">
        <f t="shared" si="5"/>
        <v>139.10615000000001</v>
      </c>
      <c r="N46" s="61">
        <f t="shared" si="6"/>
        <v>143.51480000000001</v>
      </c>
      <c r="O46" s="61">
        <f t="shared" si="7"/>
        <v>146.0179</v>
      </c>
      <c r="P46" s="15">
        <f t="shared" si="8"/>
        <v>6.9987614378069303</v>
      </c>
    </row>
    <row r="47" spans="1:20" x14ac:dyDescent="0.25">
      <c r="A47" s="42">
        <v>2021</v>
      </c>
      <c r="B47" s="22" t="s">
        <v>14</v>
      </c>
      <c r="C47" s="44">
        <v>136.49809999999999</v>
      </c>
    </row>
    <row r="48" spans="1:20" x14ac:dyDescent="0.25">
      <c r="A48" s="42">
        <v>2021</v>
      </c>
      <c r="B48" s="22" t="s">
        <v>15</v>
      </c>
      <c r="C48" s="44">
        <v>142.14060000000001</v>
      </c>
    </row>
    <row r="49" spans="1:3" x14ac:dyDescent="0.25">
      <c r="A49" s="42">
        <v>2021</v>
      </c>
      <c r="B49" s="22" t="s">
        <v>16</v>
      </c>
      <c r="C49" s="44">
        <v>146.7877</v>
      </c>
    </row>
    <row r="50" spans="1:3" x14ac:dyDescent="0.25">
      <c r="A50" s="42">
        <v>2022</v>
      </c>
      <c r="B50" s="22" t="s">
        <v>13</v>
      </c>
      <c r="C50" s="44">
        <v>148.52099999999999</v>
      </c>
    </row>
    <row r="51" spans="1:3" x14ac:dyDescent="0.25">
      <c r="A51" s="42">
        <v>2022</v>
      </c>
      <c r="B51" s="22" t="s">
        <v>14</v>
      </c>
      <c r="C51" s="44">
        <v>143.51480000000001</v>
      </c>
    </row>
    <row r="52" spans="1:3" x14ac:dyDescent="0.25">
      <c r="A52" s="42">
        <v>2022</v>
      </c>
      <c r="B52" s="22" t="s">
        <v>15</v>
      </c>
      <c r="C52" s="44">
        <v>134.69749999999999</v>
      </c>
    </row>
    <row r="53" spans="1:3" x14ac:dyDescent="0.25">
      <c r="A53" s="42"/>
      <c r="C53" s="44"/>
    </row>
    <row r="54" spans="1:3" x14ac:dyDescent="0.25">
      <c r="A54" s="43"/>
      <c r="B54" s="43"/>
    </row>
    <row r="55" spans="1:3" x14ac:dyDescent="0.25">
      <c r="A55" s="43"/>
      <c r="B55" s="43"/>
    </row>
    <row r="56" spans="1:3" x14ac:dyDescent="0.25">
      <c r="A56" s="43"/>
      <c r="B56" s="43"/>
    </row>
    <row r="57" spans="1:3" x14ac:dyDescent="0.25">
      <c r="A57" s="43"/>
      <c r="B57" s="43"/>
    </row>
    <row r="58" spans="1:3" x14ac:dyDescent="0.25">
      <c r="C58" s="44"/>
    </row>
    <row r="59" spans="1:3" x14ac:dyDescent="0.25">
      <c r="C59" s="44"/>
    </row>
    <row r="60" spans="1:3" x14ac:dyDescent="0.25">
      <c r="C60" s="44"/>
    </row>
    <row r="61" spans="1:3" x14ac:dyDescent="0.25">
      <c r="C61" s="44"/>
    </row>
    <row r="62" spans="1:3" x14ac:dyDescent="0.25">
      <c r="C62" s="44"/>
    </row>
    <row r="63" spans="1:3" x14ac:dyDescent="0.25">
      <c r="C63" s="44"/>
    </row>
    <row r="64" spans="1:3" x14ac:dyDescent="0.25">
      <c r="C64" s="44"/>
    </row>
    <row r="65" spans="3:3" x14ac:dyDescent="0.25">
      <c r="C65" s="44"/>
    </row>
    <row r="66" spans="3:3" x14ac:dyDescent="0.25">
      <c r="C66" s="44"/>
    </row>
    <row r="67" spans="3:3" x14ac:dyDescent="0.25">
      <c r="C67" s="44"/>
    </row>
    <row r="68" spans="3:3" x14ac:dyDescent="0.25">
      <c r="C68" s="44"/>
    </row>
    <row r="69" spans="3:3" x14ac:dyDescent="0.25">
      <c r="C69" s="44"/>
    </row>
    <row r="70" spans="3:3" x14ac:dyDescent="0.25">
      <c r="C70" s="44"/>
    </row>
    <row r="71" spans="3:3" x14ac:dyDescent="0.25">
      <c r="C71" s="44"/>
    </row>
    <row r="72" spans="3:3" x14ac:dyDescent="0.25">
      <c r="C72" s="44"/>
    </row>
    <row r="73" spans="3:3" x14ac:dyDescent="0.25">
      <c r="C73" s="44"/>
    </row>
    <row r="74" spans="3:3" x14ac:dyDescent="0.25">
      <c r="C74" s="44"/>
    </row>
    <row r="75" spans="3:3" x14ac:dyDescent="0.25">
      <c r="C75" s="44"/>
    </row>
    <row r="76" spans="3:3" x14ac:dyDescent="0.25">
      <c r="C76" s="44"/>
    </row>
    <row r="77" spans="3:3" x14ac:dyDescent="0.25">
      <c r="C77" s="44"/>
    </row>
    <row r="78" spans="3:3" x14ac:dyDescent="0.25">
      <c r="C78" s="44"/>
    </row>
    <row r="79" spans="3:3" x14ac:dyDescent="0.25">
      <c r="C79" s="44"/>
    </row>
    <row r="80" spans="3:3" x14ac:dyDescent="0.25">
      <c r="C80" s="44"/>
    </row>
    <row r="81" spans="3:3" x14ac:dyDescent="0.25">
      <c r="C81" s="44"/>
    </row>
  </sheetData>
  <conditionalFormatting sqref="F19:F31">
    <cfRule type="top10" dxfId="38" priority="30" rank="1"/>
    <cfRule type="top10" dxfId="37" priority="29" bottom="1" rank="1"/>
  </conditionalFormatting>
  <conditionalFormatting sqref="G20:G31">
    <cfRule type="top10" dxfId="36" priority="28" rank="1"/>
    <cfRule type="top10" dxfId="35" priority="27" percent="1" bottom="1" rank="1"/>
  </conditionalFormatting>
  <conditionalFormatting sqref="F34:I34">
    <cfRule type="top10" dxfId="34" priority="26" rank="1"/>
    <cfRule type="top10" dxfId="33" priority="25" bottom="1" rank="1"/>
  </conditionalFormatting>
  <conditionalFormatting sqref="F35:I35">
    <cfRule type="top10" dxfId="32" priority="24" rank="1"/>
    <cfRule type="top10" dxfId="31" priority="23" bottom="1" rank="1"/>
  </conditionalFormatting>
  <conditionalFormatting sqref="F36:I36">
    <cfRule type="top10" dxfId="30" priority="22" rank="1"/>
    <cfRule type="top10" dxfId="29" priority="21" bottom="1" rank="1"/>
  </conditionalFormatting>
  <conditionalFormatting sqref="F37:I37">
    <cfRule type="top10" dxfId="28" priority="20" bottom="1" rank="1"/>
    <cfRule type="top10" dxfId="27" priority="1" rank="1"/>
  </conditionalFormatting>
  <conditionalFormatting sqref="F38:I38">
    <cfRule type="top10" dxfId="26" priority="19" bottom="1" rank="1"/>
    <cfRule type="top10" dxfId="25" priority="2" rank="1"/>
  </conditionalFormatting>
  <conditionalFormatting sqref="F39:I39">
    <cfRule type="top10" dxfId="24" priority="18" bottom="1" rank="1"/>
    <cfRule type="top10" dxfId="23" priority="3" rank="1"/>
  </conditionalFormatting>
  <conditionalFormatting sqref="F40:I40">
    <cfRule type="top10" dxfId="22" priority="17" bottom="1" rank="1"/>
    <cfRule type="top10" dxfId="21" priority="4" rank="1"/>
  </conditionalFormatting>
  <conditionalFormatting sqref="F41:I41">
    <cfRule type="top10" dxfId="20" priority="16" bottom="1" rank="1"/>
    <cfRule type="top10" dxfId="19" priority="5" rank="1"/>
  </conditionalFormatting>
  <conditionalFormatting sqref="F42:I42">
    <cfRule type="top10" dxfId="18" priority="15" bottom="1" rank="1"/>
    <cfRule type="top10" dxfId="17" priority="6" rank="1"/>
  </conditionalFormatting>
  <conditionalFormatting sqref="F43:I43">
    <cfRule type="top10" dxfId="16" priority="14" bottom="1" rank="1"/>
    <cfRule type="top10" dxfId="15" priority="7" rank="1"/>
  </conditionalFormatting>
  <conditionalFormatting sqref="F44:I44">
    <cfRule type="top10" dxfId="14" priority="13" bottom="1" rank="1"/>
    <cfRule type="top10" dxfId="13" priority="8" rank="1"/>
  </conditionalFormatting>
  <conditionalFormatting sqref="F45:I45">
    <cfRule type="top10" dxfId="12" priority="12" bottom="1" rank="1"/>
    <cfRule type="top10" dxfId="11" priority="9" rank="1"/>
  </conditionalFormatting>
  <conditionalFormatting sqref="F46:I46">
    <cfRule type="top10" dxfId="10" priority="11" bottom="1" rank="1"/>
    <cfRule type="top10" dxfId="9" priority="10" rank="1"/>
  </conditionalFormatting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88202-9AEA-4691-B243-5890919AA6DE}">
  <dimension ref="A1:R81"/>
  <sheetViews>
    <sheetView showGridLines="0" topLeftCell="D1" zoomScale="85" zoomScaleNormal="85" workbookViewId="0">
      <selection activeCell="C43" sqref="C43"/>
    </sheetView>
  </sheetViews>
  <sheetFormatPr baseColWidth="10" defaultRowHeight="15" x14ac:dyDescent="0.25"/>
  <cols>
    <col min="3" max="4" width="11.42578125" style="1"/>
    <col min="7" max="7" width="13" style="11" bestFit="1" customWidth="1"/>
    <col min="8" max="10" width="11.42578125" style="11"/>
    <col min="11" max="11" width="12.7109375" bestFit="1" customWidth="1"/>
    <col min="12" max="12" width="4.28515625" customWidth="1"/>
    <col min="15" max="16" width="4.140625" customWidth="1"/>
    <col min="17" max="17" width="15.42578125" bestFit="1" customWidth="1"/>
    <col min="18" max="18" width="13.7109375" customWidth="1"/>
    <col min="22" max="22" width="15.42578125" bestFit="1" customWidth="1"/>
    <col min="23" max="23" width="9.28515625" customWidth="1"/>
  </cols>
  <sheetData>
    <row r="1" spans="1:18" ht="16.5" thickBot="1" x14ac:dyDescent="0.3">
      <c r="A1" s="17" t="s">
        <v>1</v>
      </c>
      <c r="B1" s="18" t="s">
        <v>2</v>
      </c>
      <c r="C1" s="18" t="s">
        <v>0</v>
      </c>
      <c r="D1" s="18" t="s">
        <v>35</v>
      </c>
      <c r="E1" s="19" t="s">
        <v>18</v>
      </c>
      <c r="F1" s="20" t="s">
        <v>22</v>
      </c>
      <c r="G1" s="20" t="s">
        <v>37</v>
      </c>
      <c r="H1" s="18" t="s">
        <v>24</v>
      </c>
      <c r="I1" s="18" t="s">
        <v>39</v>
      </c>
      <c r="J1" s="18" t="s">
        <v>36</v>
      </c>
      <c r="K1" s="21" t="s">
        <v>38</v>
      </c>
    </row>
    <row r="2" spans="1:18" ht="15.75" x14ac:dyDescent="0.25">
      <c r="A2" s="70">
        <v>2010</v>
      </c>
      <c r="B2" s="22" t="s">
        <v>13</v>
      </c>
      <c r="C2" s="22">
        <v>1</v>
      </c>
      <c r="D2" s="23">
        <f>C2^2</f>
        <v>1</v>
      </c>
      <c r="E2" s="24">
        <v>81.548349999999999</v>
      </c>
      <c r="F2" s="25">
        <f t="shared" ref="F2:F33" si="0">$R$8*C2+$R$9</f>
        <v>78.089642337858209</v>
      </c>
      <c r="G2" s="26">
        <f>(F2-E2)^2</f>
        <v>11.962658692158332</v>
      </c>
      <c r="H2" s="27">
        <f t="shared" ref="H2:H33" si="1">LN(E2)</f>
        <v>4.4011960958764353</v>
      </c>
      <c r="I2" s="27">
        <f t="shared" ref="I2:I33" si="2">$R$27*EXP($R$25*E2)</f>
        <v>179.84045298312202</v>
      </c>
      <c r="J2" s="27">
        <f>(I2-E2)^2</f>
        <v>9661.3375088446646</v>
      </c>
      <c r="K2" s="28">
        <f t="shared" ref="K2:K33" si="3">$R$8*D2+$R$9</f>
        <v>78.089642337858209</v>
      </c>
      <c r="M2" s="71" t="s">
        <v>25</v>
      </c>
      <c r="N2" s="72"/>
      <c r="Q2" s="71" t="s">
        <v>25</v>
      </c>
      <c r="R2" s="72"/>
    </row>
    <row r="3" spans="1:18" x14ac:dyDescent="0.25">
      <c r="A3" s="70"/>
      <c r="B3" s="22" t="s">
        <v>14</v>
      </c>
      <c r="C3" s="22">
        <v>2</v>
      </c>
      <c r="D3" s="23">
        <f t="shared" ref="D3:D52" si="4">C3^2</f>
        <v>4</v>
      </c>
      <c r="E3" s="25">
        <v>82.849109999999996</v>
      </c>
      <c r="F3" s="25">
        <f t="shared" si="0"/>
        <v>79.15900082473604</v>
      </c>
      <c r="G3" s="26">
        <f t="shared" ref="G3:G52" si="5">(F3-E3)^2</f>
        <v>13.616905725367232</v>
      </c>
      <c r="H3" s="27">
        <f t="shared" si="1"/>
        <v>4.4170210015095019</v>
      </c>
      <c r="I3" s="27">
        <f t="shared" si="2"/>
        <v>182.18480384238956</v>
      </c>
      <c r="J3" s="27">
        <f t="shared" ref="J3:J52" si="6">(I3-E3)^2</f>
        <v>9867.5800711489519</v>
      </c>
      <c r="K3" s="28">
        <f t="shared" si="3"/>
        <v>81.297717798491689</v>
      </c>
      <c r="M3" s="8" t="s">
        <v>32</v>
      </c>
      <c r="N3" s="3">
        <f>SUM(G:G)</f>
        <v>3161.3873453579636</v>
      </c>
      <c r="Q3" s="12" t="s">
        <v>4</v>
      </c>
      <c r="R3" s="13">
        <f>COVAR(C:C,E:E)</f>
        <v>231.69433882352942</v>
      </c>
    </row>
    <row r="4" spans="1:18" x14ac:dyDescent="0.25">
      <c r="A4" s="70"/>
      <c r="B4" s="22" t="s">
        <v>15</v>
      </c>
      <c r="C4" s="22">
        <v>3</v>
      </c>
      <c r="D4" s="23">
        <f t="shared" si="4"/>
        <v>9</v>
      </c>
      <c r="E4" s="25">
        <v>82.379459999999995</v>
      </c>
      <c r="F4" s="25">
        <f t="shared" si="0"/>
        <v>80.228359311613858</v>
      </c>
      <c r="G4" s="26">
        <f t="shared" si="5"/>
        <v>4.6272341715753127</v>
      </c>
      <c r="H4" s="27">
        <f t="shared" si="1"/>
        <v>4.4113361339973753</v>
      </c>
      <c r="I4" s="27">
        <f t="shared" si="2"/>
        <v>181.33485248690718</v>
      </c>
      <c r="J4" s="27">
        <f t="shared" si="6"/>
        <v>9792.1697022378466</v>
      </c>
      <c r="K4" s="28">
        <f t="shared" si="3"/>
        <v>86.644510232880833</v>
      </c>
      <c r="M4" s="9" t="s">
        <v>33</v>
      </c>
      <c r="N4" s="3">
        <f>SUM(J:J)</f>
        <v>839375.8187405623</v>
      </c>
      <c r="Q4" s="2" t="s">
        <v>5</v>
      </c>
      <c r="R4" s="3">
        <f>AVERAGE(E:E)</f>
        <v>104.82360450980391</v>
      </c>
    </row>
    <row r="5" spans="1:18" ht="15.75" thickBot="1" x14ac:dyDescent="0.3">
      <c r="A5" s="70"/>
      <c r="B5" s="22" t="s">
        <v>16</v>
      </c>
      <c r="C5" s="22">
        <v>4</v>
      </c>
      <c r="D5" s="23">
        <f t="shared" si="4"/>
        <v>16</v>
      </c>
      <c r="E5" s="25">
        <v>89.954269999999994</v>
      </c>
      <c r="F5" s="25">
        <f t="shared" si="0"/>
        <v>81.297717798491689</v>
      </c>
      <c r="G5" s="26">
        <f t="shared" si="5"/>
        <v>74.935896017438282</v>
      </c>
      <c r="H5" s="27">
        <f t="shared" si="1"/>
        <v>4.4993014300869589</v>
      </c>
      <c r="I5" s="27">
        <f t="shared" si="2"/>
        <v>195.5403395835931</v>
      </c>
      <c r="J5" s="27">
        <f t="shared" si="6"/>
        <v>11148.418090111365</v>
      </c>
      <c r="K5" s="28">
        <f t="shared" si="3"/>
        <v>94.130019641025626</v>
      </c>
      <c r="M5" s="10" t="s">
        <v>34</v>
      </c>
      <c r="N5" s="5">
        <f>SUM(K:K)</f>
        <v>52611.648949999995</v>
      </c>
      <c r="Q5" s="12" t="s">
        <v>6</v>
      </c>
      <c r="R5" s="13">
        <f>AVERAGE(C:C)</f>
        <v>26</v>
      </c>
    </row>
    <row r="6" spans="1:18" x14ac:dyDescent="0.25">
      <c r="A6" s="70">
        <v>2011</v>
      </c>
      <c r="B6" s="22" t="s">
        <v>13</v>
      </c>
      <c r="C6" s="22">
        <v>5</v>
      </c>
      <c r="D6" s="23">
        <f t="shared" si="4"/>
        <v>25</v>
      </c>
      <c r="E6" s="25">
        <v>95.884799999999998</v>
      </c>
      <c r="F6" s="25">
        <f t="shared" si="0"/>
        <v>82.367076285369521</v>
      </c>
      <c r="G6" s="26">
        <f t="shared" si="5"/>
        <v>182.7288544250832</v>
      </c>
      <c r="H6" s="27">
        <f t="shared" si="1"/>
        <v>4.5631474708913169</v>
      </c>
      <c r="I6" s="27">
        <f t="shared" si="2"/>
        <v>207.4346161492538</v>
      </c>
      <c r="J6" s="27">
        <f t="shared" si="6"/>
        <v>12443.361482932323</v>
      </c>
      <c r="K6" s="28">
        <f t="shared" si="3"/>
        <v>103.75424602292608</v>
      </c>
      <c r="Q6" s="2" t="s">
        <v>7</v>
      </c>
      <c r="R6" s="3">
        <f>VAR(E:E)</f>
        <v>315.94734064130347</v>
      </c>
    </row>
    <row r="7" spans="1:18" x14ac:dyDescent="0.25">
      <c r="A7" s="70"/>
      <c r="B7" s="22" t="s">
        <v>14</v>
      </c>
      <c r="C7" s="22">
        <v>6</v>
      </c>
      <c r="D7" s="23">
        <f t="shared" si="4"/>
        <v>36</v>
      </c>
      <c r="E7" s="25">
        <v>94.63897</v>
      </c>
      <c r="F7" s="25">
        <f t="shared" si="0"/>
        <v>83.436434772247338</v>
      </c>
      <c r="G7" s="26">
        <f t="shared" si="5"/>
        <v>125.49679552903939</v>
      </c>
      <c r="H7" s="27">
        <f t="shared" si="1"/>
        <v>4.5500693362634852</v>
      </c>
      <c r="I7" s="27">
        <f t="shared" si="2"/>
        <v>204.87737421854038</v>
      </c>
      <c r="J7" s="27">
        <f t="shared" si="6"/>
        <v>12152.505764650301</v>
      </c>
      <c r="K7" s="28">
        <f t="shared" si="3"/>
        <v>115.51718937858219</v>
      </c>
      <c r="Q7" s="12" t="s">
        <v>8</v>
      </c>
      <c r="R7" s="13">
        <f>VAR(C:C)</f>
        <v>221</v>
      </c>
    </row>
    <row r="8" spans="1:18" x14ac:dyDescent="0.25">
      <c r="A8" s="70"/>
      <c r="B8" s="22" t="s">
        <v>15</v>
      </c>
      <c r="C8" s="22">
        <v>7</v>
      </c>
      <c r="D8" s="23">
        <f t="shared" si="4"/>
        <v>49</v>
      </c>
      <c r="E8" s="25">
        <v>87.999200000000002</v>
      </c>
      <c r="F8" s="25">
        <f t="shared" si="0"/>
        <v>84.50579325912517</v>
      </c>
      <c r="G8" s="26">
        <f t="shared" si="5"/>
        <v>12.203890657189715</v>
      </c>
      <c r="H8" s="27">
        <f t="shared" si="1"/>
        <v>4.4773277235277931</v>
      </c>
      <c r="I8" s="27">
        <f t="shared" si="2"/>
        <v>191.77068898929156</v>
      </c>
      <c r="J8" s="27">
        <f t="shared" si="6"/>
        <v>10768.521927054659</v>
      </c>
      <c r="K8" s="28">
        <f t="shared" si="3"/>
        <v>129.41884970799396</v>
      </c>
      <c r="Q8" s="2" t="s">
        <v>9</v>
      </c>
      <c r="R8" s="3">
        <f>SLOPE(E:E,C:C)</f>
        <v>1.0693584868778281</v>
      </c>
    </row>
    <row r="9" spans="1:18" ht="15.75" thickBot="1" x14ac:dyDescent="0.3">
      <c r="A9" s="70"/>
      <c r="B9" s="22" t="s">
        <v>16</v>
      </c>
      <c r="C9" s="22">
        <v>8</v>
      </c>
      <c r="D9" s="23">
        <f>C9^2</f>
        <v>64</v>
      </c>
      <c r="E9" s="25">
        <v>83.249309999999994</v>
      </c>
      <c r="F9" s="25">
        <f t="shared" si="0"/>
        <v>85.575151746003002</v>
      </c>
      <c r="G9" s="26">
        <f t="shared" si="5"/>
        <v>5.4095398274503177</v>
      </c>
      <c r="H9" s="27">
        <f t="shared" si="1"/>
        <v>4.4218398405379169</v>
      </c>
      <c r="I9" s="27">
        <f t="shared" si="2"/>
        <v>182.91221076163717</v>
      </c>
      <c r="J9" s="27">
        <f t="shared" si="6"/>
        <v>9932.6937882239399</v>
      </c>
      <c r="K9" s="28">
        <f t="shared" si="3"/>
        <v>145.45922701116137</v>
      </c>
      <c r="Q9" s="14" t="s">
        <v>10</v>
      </c>
      <c r="R9" s="15">
        <f>INTERCEPT(E:E,C:C)</f>
        <v>77.020283850980377</v>
      </c>
    </row>
    <row r="10" spans="1:18" x14ac:dyDescent="0.25">
      <c r="A10" s="70">
        <v>2012</v>
      </c>
      <c r="B10" s="22" t="s">
        <v>13</v>
      </c>
      <c r="C10" s="22">
        <v>9</v>
      </c>
      <c r="D10" s="23">
        <f t="shared" si="4"/>
        <v>81</v>
      </c>
      <c r="E10" s="25">
        <v>86.771870000000007</v>
      </c>
      <c r="F10" s="25">
        <f t="shared" si="0"/>
        <v>86.644510232880833</v>
      </c>
      <c r="G10" s="26">
        <f t="shared" si="5"/>
        <v>1.6220510280650167E-2</v>
      </c>
      <c r="H10" s="27">
        <f t="shared" si="1"/>
        <v>4.4632824908005571</v>
      </c>
      <c r="I10" s="27">
        <f t="shared" si="2"/>
        <v>189.44144332573242</v>
      </c>
      <c r="J10" s="27">
        <f t="shared" si="6"/>
        <v>10541.041286887945</v>
      </c>
      <c r="K10" s="28">
        <f t="shared" si="3"/>
        <v>163.63832128808446</v>
      </c>
    </row>
    <row r="11" spans="1:18" x14ac:dyDescent="0.25">
      <c r="A11" s="70"/>
      <c r="B11" s="22" t="s">
        <v>14</v>
      </c>
      <c r="C11" s="22">
        <v>10</v>
      </c>
      <c r="D11" s="23">
        <f t="shared" si="4"/>
        <v>100</v>
      </c>
      <c r="E11" s="25">
        <v>81.962109999999996</v>
      </c>
      <c r="F11" s="25">
        <f t="shared" si="0"/>
        <v>87.713868719758665</v>
      </c>
      <c r="G11" s="26">
        <f t="shared" si="5"/>
        <v>33.082728370319884</v>
      </c>
      <c r="H11" s="27">
        <f t="shared" si="1"/>
        <v>4.406257067304816</v>
      </c>
      <c r="I11" s="27">
        <f t="shared" si="2"/>
        <v>180.58287941139571</v>
      </c>
      <c r="J11" s="27">
        <f t="shared" si="6"/>
        <v>9726.0561592956838</v>
      </c>
      <c r="K11" s="28">
        <f t="shared" si="3"/>
        <v>183.9561325387632</v>
      </c>
    </row>
    <row r="12" spans="1:18" x14ac:dyDescent="0.25">
      <c r="A12" s="70"/>
      <c r="B12" s="22" t="s">
        <v>15</v>
      </c>
      <c r="C12" s="22">
        <v>11</v>
      </c>
      <c r="D12" s="23">
        <f t="shared" si="4"/>
        <v>121</v>
      </c>
      <c r="E12" s="25">
        <v>83.231830000000002</v>
      </c>
      <c r="F12" s="25">
        <f t="shared" si="0"/>
        <v>88.783227206636482</v>
      </c>
      <c r="G12" s="26">
        <f t="shared" si="5"/>
        <v>30.818010945851313</v>
      </c>
      <c r="H12" s="27">
        <f t="shared" si="1"/>
        <v>4.4216298467804949</v>
      </c>
      <c r="I12" s="27">
        <f t="shared" si="2"/>
        <v>182.88037839221897</v>
      </c>
      <c r="J12" s="27">
        <f t="shared" si="6"/>
        <v>9929.8331966764054</v>
      </c>
      <c r="K12" s="28">
        <f t="shared" si="3"/>
        <v>206.41266076319758</v>
      </c>
    </row>
    <row r="13" spans="1:18" x14ac:dyDescent="0.25">
      <c r="A13" s="70"/>
      <c r="B13" s="22" t="s">
        <v>16</v>
      </c>
      <c r="C13" s="22">
        <v>12</v>
      </c>
      <c r="D13" s="23">
        <f t="shared" si="4"/>
        <v>144</v>
      </c>
      <c r="E13" s="25">
        <v>85.552350000000004</v>
      </c>
      <c r="F13" s="25">
        <f t="shared" si="0"/>
        <v>89.852585693514314</v>
      </c>
      <c r="G13" s="26">
        <f t="shared" si="5"/>
        <v>18.492027019774497</v>
      </c>
      <c r="H13" s="27">
        <f t="shared" si="1"/>
        <v>4.4491284692771176</v>
      </c>
      <c r="I13" s="27">
        <f t="shared" si="2"/>
        <v>187.1550418600925</v>
      </c>
      <c r="J13" s="27">
        <f t="shared" si="6"/>
        <v>10323.106993216905</v>
      </c>
      <c r="K13" s="28">
        <f t="shared" si="3"/>
        <v>231.00790596138762</v>
      </c>
    </row>
    <row r="14" spans="1:18" x14ac:dyDescent="0.25">
      <c r="A14" s="70">
        <v>2013</v>
      </c>
      <c r="B14" s="22" t="s">
        <v>13</v>
      </c>
      <c r="C14" s="22">
        <v>13</v>
      </c>
      <c r="D14" s="23">
        <f t="shared" si="4"/>
        <v>169</v>
      </c>
      <c r="E14" s="25">
        <v>88.729600000000005</v>
      </c>
      <c r="F14" s="25">
        <f t="shared" si="0"/>
        <v>90.921944180392146</v>
      </c>
      <c r="G14" s="26">
        <f t="shared" si="5"/>
        <v>4.806373005299287</v>
      </c>
      <c r="H14" s="27">
        <f t="shared" si="1"/>
        <v>4.4855935427789309</v>
      </c>
      <c r="I14" s="27">
        <f t="shared" si="2"/>
        <v>193.17042386750819</v>
      </c>
      <c r="J14" s="27">
        <f t="shared" si="6"/>
        <v>10907.885690123867</v>
      </c>
      <c r="K14" s="28">
        <f t="shared" si="3"/>
        <v>257.74186813333336</v>
      </c>
    </row>
    <row r="15" spans="1:18" x14ac:dyDescent="0.25">
      <c r="A15" s="70"/>
      <c r="B15" s="22" t="s">
        <v>14</v>
      </c>
      <c r="C15" s="22">
        <v>14</v>
      </c>
      <c r="D15" s="23">
        <f t="shared" si="4"/>
        <v>196</v>
      </c>
      <c r="E15" s="25">
        <v>86.26052</v>
      </c>
      <c r="F15" s="25">
        <f t="shared" si="0"/>
        <v>91.991302667269963</v>
      </c>
      <c r="G15" s="26">
        <f t="shared" si="5"/>
        <v>32.841869979481835</v>
      </c>
      <c r="H15" s="27">
        <f t="shared" si="1"/>
        <v>4.4573720194881021</v>
      </c>
      <c r="I15" s="27">
        <f t="shared" si="2"/>
        <v>188.47936426490722</v>
      </c>
      <c r="J15" s="27">
        <f t="shared" si="6"/>
        <v>10448.692122853356</v>
      </c>
      <c r="K15" s="28">
        <f t="shared" si="3"/>
        <v>286.6145472790347</v>
      </c>
    </row>
    <row r="16" spans="1:18" x14ac:dyDescent="0.25">
      <c r="A16" s="70"/>
      <c r="B16" s="22" t="s">
        <v>15</v>
      </c>
      <c r="C16" s="22">
        <v>15</v>
      </c>
      <c r="D16" s="23">
        <f t="shared" si="4"/>
        <v>225</v>
      </c>
      <c r="E16" s="25">
        <v>88.097899999999996</v>
      </c>
      <c r="F16" s="25">
        <f t="shared" si="0"/>
        <v>93.060661154147795</v>
      </c>
      <c r="G16" s="26">
        <f t="shared" si="5"/>
        <v>24.628998273118395</v>
      </c>
      <c r="H16" s="27">
        <f t="shared" si="1"/>
        <v>4.4784486961086634</v>
      </c>
      <c r="I16" s="27">
        <f t="shared" si="2"/>
        <v>191.95924285065436</v>
      </c>
      <c r="J16" s="27">
        <f t="shared" si="6"/>
        <v>10787.178538741173</v>
      </c>
      <c r="K16" s="28">
        <f t="shared" si="3"/>
        <v>317.6259433984917</v>
      </c>
    </row>
    <row r="17" spans="1:18" x14ac:dyDescent="0.25">
      <c r="A17" s="70"/>
      <c r="B17" s="22" t="s">
        <v>16</v>
      </c>
      <c r="C17" s="22">
        <v>16</v>
      </c>
      <c r="D17" s="23">
        <f t="shared" si="4"/>
        <v>256</v>
      </c>
      <c r="E17" s="25">
        <v>92.525700000000001</v>
      </c>
      <c r="F17" s="25">
        <f t="shared" si="0"/>
        <v>94.130019641025626</v>
      </c>
      <c r="G17" s="26">
        <f t="shared" si="5"/>
        <v>2.5738415105805927</v>
      </c>
      <c r="H17" s="27">
        <f t="shared" si="1"/>
        <v>4.5274864437664331</v>
      </c>
      <c r="I17" s="27">
        <f t="shared" si="2"/>
        <v>200.61147572051152</v>
      </c>
      <c r="J17" s="27">
        <f t="shared" si="6"/>
        <v>11682.534913104717</v>
      </c>
      <c r="K17" s="28">
        <f t="shared" si="3"/>
        <v>350.77605649170437</v>
      </c>
    </row>
    <row r="18" spans="1:18" x14ac:dyDescent="0.25">
      <c r="A18" s="70">
        <v>2014</v>
      </c>
      <c r="B18" s="22" t="s">
        <v>13</v>
      </c>
      <c r="C18" s="22">
        <v>17</v>
      </c>
      <c r="D18" s="23">
        <f t="shared" si="4"/>
        <v>289</v>
      </c>
      <c r="E18" s="25">
        <v>97.574209999999994</v>
      </c>
      <c r="F18" s="25">
        <f t="shared" si="0"/>
        <v>95.199378127903458</v>
      </c>
      <c r="G18" s="26">
        <f t="shared" si="5"/>
        <v>5.6398264207255373</v>
      </c>
      <c r="H18" s="27">
        <f t="shared" si="1"/>
        <v>4.5806132166977518</v>
      </c>
      <c r="I18" s="27">
        <f t="shared" si="2"/>
        <v>210.95343352720894</v>
      </c>
      <c r="J18" s="27">
        <f t="shared" si="6"/>
        <v>12854.848327632812</v>
      </c>
      <c r="K18" s="28">
        <f t="shared" si="3"/>
        <v>386.0648865586727</v>
      </c>
    </row>
    <row r="19" spans="1:18" x14ac:dyDescent="0.25">
      <c r="A19" s="70"/>
      <c r="B19" s="22" t="s">
        <v>14</v>
      </c>
      <c r="C19" s="22">
        <v>18</v>
      </c>
      <c r="D19" s="23">
        <f t="shared" si="4"/>
        <v>324</v>
      </c>
      <c r="E19" s="25">
        <v>102.3635</v>
      </c>
      <c r="F19" s="25">
        <f t="shared" si="0"/>
        <v>96.26873661478129</v>
      </c>
      <c r="G19" s="26">
        <f t="shared" si="5"/>
        <v>37.146140721802659</v>
      </c>
      <c r="H19" s="27">
        <f t="shared" si="1"/>
        <v>4.6285302037511773</v>
      </c>
      <c r="I19" s="27">
        <f t="shared" si="2"/>
        <v>221.25673638750683</v>
      </c>
      <c r="J19" s="27">
        <f t="shared" si="6"/>
        <v>14135.601658695579</v>
      </c>
      <c r="K19" s="28">
        <f t="shared" si="3"/>
        <v>423.49243359939669</v>
      </c>
    </row>
    <row r="20" spans="1:18" x14ac:dyDescent="0.25">
      <c r="A20" s="70"/>
      <c r="B20" s="22" t="s">
        <v>15</v>
      </c>
      <c r="C20" s="22">
        <v>19</v>
      </c>
      <c r="D20" s="23">
        <f t="shared" si="4"/>
        <v>361</v>
      </c>
      <c r="E20" s="25">
        <v>106.95699999999999</v>
      </c>
      <c r="F20" s="25">
        <f t="shared" si="0"/>
        <v>97.338095101659107</v>
      </c>
      <c r="G20" s="26">
        <f t="shared" si="5"/>
        <v>92.523331443326299</v>
      </c>
      <c r="H20" s="27">
        <f t="shared" si="1"/>
        <v>4.6724268845319772</v>
      </c>
      <c r="I20" s="27">
        <f t="shared" si="2"/>
        <v>231.61131288362159</v>
      </c>
      <c r="J20" s="27">
        <f t="shared" si="6"/>
        <v>15538.697720487829</v>
      </c>
      <c r="K20" s="28">
        <f t="shared" si="3"/>
        <v>463.05869761387629</v>
      </c>
    </row>
    <row r="21" spans="1:18" x14ac:dyDescent="0.25">
      <c r="A21" s="70"/>
      <c r="B21" s="22" t="s">
        <v>16</v>
      </c>
      <c r="C21" s="22">
        <v>20</v>
      </c>
      <c r="D21" s="23">
        <f t="shared" si="4"/>
        <v>400</v>
      </c>
      <c r="E21" s="25">
        <v>101.4247</v>
      </c>
      <c r="F21" s="25">
        <f t="shared" si="0"/>
        <v>98.407453588536939</v>
      </c>
      <c r="G21" s="26">
        <f t="shared" si="5"/>
        <v>9.1037759074867299</v>
      </c>
      <c r="H21" s="27">
        <f t="shared" si="1"/>
        <v>4.6193166512375079</v>
      </c>
      <c r="I21" s="27">
        <f t="shared" si="2"/>
        <v>219.19817410475702</v>
      </c>
      <c r="J21" s="27">
        <f t="shared" si="6"/>
        <v>13870.59120270387</v>
      </c>
      <c r="K21" s="28">
        <f t="shared" si="3"/>
        <v>504.76367860211161</v>
      </c>
    </row>
    <row r="22" spans="1:18" ht="15.75" thickBot="1" x14ac:dyDescent="0.3">
      <c r="A22" s="70">
        <v>2015</v>
      </c>
      <c r="B22" s="22" t="s">
        <v>13</v>
      </c>
      <c r="C22" s="22">
        <v>21</v>
      </c>
      <c r="D22" s="23">
        <f t="shared" si="4"/>
        <v>441</v>
      </c>
      <c r="E22" s="25">
        <v>103.56480000000001</v>
      </c>
      <c r="F22" s="25">
        <f t="shared" si="0"/>
        <v>99.47681207541477</v>
      </c>
      <c r="G22" s="26">
        <f t="shared" si="5"/>
        <v>16.711645271554698</v>
      </c>
      <c r="H22" s="27">
        <f t="shared" si="1"/>
        <v>4.6401975037512742</v>
      </c>
      <c r="I22" s="27">
        <f t="shared" si="2"/>
        <v>223.91911942687949</v>
      </c>
      <c r="J22" s="27">
        <f t="shared" si="6"/>
        <v>14485.16220470734</v>
      </c>
      <c r="K22" s="28">
        <f t="shared" si="3"/>
        <v>548.60737656410254</v>
      </c>
    </row>
    <row r="23" spans="1:18" ht="15.75" x14ac:dyDescent="0.25">
      <c r="A23" s="70"/>
      <c r="B23" s="22" t="s">
        <v>14</v>
      </c>
      <c r="C23" s="22">
        <v>22</v>
      </c>
      <c r="D23" s="23">
        <f t="shared" si="4"/>
        <v>484</v>
      </c>
      <c r="E23" s="25">
        <v>105.18819999999999</v>
      </c>
      <c r="F23" s="25">
        <f t="shared" si="0"/>
        <v>100.54617056229259</v>
      </c>
      <c r="G23" s="26">
        <f t="shared" si="5"/>
        <v>21.548437300542147</v>
      </c>
      <c r="H23" s="27">
        <f t="shared" si="1"/>
        <v>4.6557511267120075</v>
      </c>
      <c r="I23" s="27">
        <f t="shared" si="2"/>
        <v>227.56795288745451</v>
      </c>
      <c r="J23" s="27">
        <f t="shared" si="6"/>
        <v>14976.803916794432</v>
      </c>
      <c r="K23" s="28">
        <f t="shared" si="3"/>
        <v>594.58979149984918</v>
      </c>
      <c r="Q23" s="71" t="s">
        <v>26</v>
      </c>
      <c r="R23" s="72"/>
    </row>
    <row r="24" spans="1:18" x14ac:dyDescent="0.25">
      <c r="A24" s="70"/>
      <c r="B24" s="22" t="s">
        <v>15</v>
      </c>
      <c r="C24" s="22">
        <v>23</v>
      </c>
      <c r="D24" s="23">
        <f t="shared" si="4"/>
        <v>529</v>
      </c>
      <c r="E24" s="25">
        <v>97.522139999999993</v>
      </c>
      <c r="F24" s="25">
        <f t="shared" si="0"/>
        <v>101.61552904917042</v>
      </c>
      <c r="G24" s="26">
        <f t="shared" si="5"/>
        <v>16.755833907868364</v>
      </c>
      <c r="H24" s="27">
        <f t="shared" si="1"/>
        <v>4.5800794291488165</v>
      </c>
      <c r="I24" s="27">
        <f t="shared" si="2"/>
        <v>210.84409222741661</v>
      </c>
      <c r="J24" s="27">
        <f t="shared" si="6"/>
        <v>12841.864856632894</v>
      </c>
      <c r="K24" s="28">
        <f t="shared" si="3"/>
        <v>642.71092340935138</v>
      </c>
      <c r="Q24" s="12" t="s">
        <v>27</v>
      </c>
      <c r="R24" s="13">
        <f>COVAR(C:C,H:H)</f>
        <v>2.1573208161494795</v>
      </c>
    </row>
    <row r="25" spans="1:18" x14ac:dyDescent="0.25">
      <c r="A25" s="70"/>
      <c r="B25" s="22" t="s">
        <v>16</v>
      </c>
      <c r="C25" s="22">
        <v>24</v>
      </c>
      <c r="D25" s="23">
        <f t="shared" si="4"/>
        <v>576</v>
      </c>
      <c r="E25" s="25">
        <v>93.724810000000005</v>
      </c>
      <c r="F25" s="25">
        <f t="shared" si="0"/>
        <v>102.68488753604825</v>
      </c>
      <c r="G25" s="26">
        <f t="shared" si="5"/>
        <v>80.2829894519964</v>
      </c>
      <c r="H25" s="27">
        <f t="shared" si="1"/>
        <v>4.5403629354126656</v>
      </c>
      <c r="I25" s="27">
        <f t="shared" si="2"/>
        <v>203.02100724017362</v>
      </c>
      <c r="J25" s="27">
        <f t="shared" si="6"/>
        <v>11945.658731162934</v>
      </c>
      <c r="K25" s="28">
        <f t="shared" si="3"/>
        <v>692.97077229260935</v>
      </c>
      <c r="Q25" s="2" t="s">
        <v>28</v>
      </c>
      <c r="R25" s="3">
        <f>R24/VARP(C:C)</f>
        <v>9.9568653053052902E-3</v>
      </c>
    </row>
    <row r="26" spans="1:18" x14ac:dyDescent="0.25">
      <c r="A26" s="70">
        <v>2016</v>
      </c>
      <c r="B26" s="22" t="s">
        <v>13</v>
      </c>
      <c r="C26" s="22">
        <v>25</v>
      </c>
      <c r="D26" s="23">
        <f t="shared" si="4"/>
        <v>625</v>
      </c>
      <c r="E26" s="25">
        <v>89.251159999999999</v>
      </c>
      <c r="F26" s="25">
        <f t="shared" si="0"/>
        <v>103.75424602292608</v>
      </c>
      <c r="G26" s="26">
        <f t="shared" si="5"/>
        <v>210.33950418839393</v>
      </c>
      <c r="H26" s="27">
        <f t="shared" si="1"/>
        <v>4.4914544177741655</v>
      </c>
      <c r="I26" s="27">
        <f t="shared" si="2"/>
        <v>194.17618696640196</v>
      </c>
      <c r="J26" s="27">
        <f t="shared" si="6"/>
        <v>11009.261283900178</v>
      </c>
      <c r="K26" s="28">
        <f t="shared" si="3"/>
        <v>745.36933814962288</v>
      </c>
      <c r="Q26" s="12" t="s">
        <v>29</v>
      </c>
      <c r="R26" s="13">
        <f>INTERCEPT(H:H,C:C)</f>
        <v>4.3801041486941052</v>
      </c>
    </row>
    <row r="27" spans="1:18" x14ac:dyDescent="0.25">
      <c r="A27" s="70"/>
      <c r="B27" s="22" t="s">
        <v>14</v>
      </c>
      <c r="C27" s="22">
        <v>26</v>
      </c>
      <c r="D27" s="23">
        <f t="shared" si="4"/>
        <v>676</v>
      </c>
      <c r="E27" s="25">
        <v>96.583860000000001</v>
      </c>
      <c r="F27" s="25">
        <f t="shared" si="0"/>
        <v>104.82360450980391</v>
      </c>
      <c r="G27" s="26">
        <f t="shared" si="5"/>
        <v>67.893389586843725</v>
      </c>
      <c r="H27" s="27">
        <f t="shared" si="1"/>
        <v>4.5704116465135884</v>
      </c>
      <c r="I27" s="27">
        <f t="shared" si="2"/>
        <v>208.88349020292634</v>
      </c>
      <c r="J27" s="27">
        <f t="shared" si="6"/>
        <v>12611.206943714005</v>
      </c>
      <c r="K27" s="28">
        <f t="shared" si="3"/>
        <v>799.90662098039218</v>
      </c>
      <c r="Q27" s="2" t="s">
        <v>30</v>
      </c>
      <c r="R27" s="3">
        <f>EXP(R26)</f>
        <v>79.846348865018214</v>
      </c>
    </row>
    <row r="28" spans="1:18" ht="15.75" thickBot="1" x14ac:dyDescent="0.3">
      <c r="A28" s="70"/>
      <c r="B28" s="22" t="s">
        <v>15</v>
      </c>
      <c r="C28" s="22">
        <v>27</v>
      </c>
      <c r="D28" s="23">
        <f t="shared" si="4"/>
        <v>729</v>
      </c>
      <c r="E28" s="25">
        <v>101.6934</v>
      </c>
      <c r="F28" s="25">
        <f t="shared" si="0"/>
        <v>105.89296299668173</v>
      </c>
      <c r="G28" s="26">
        <f t="shared" si="5"/>
        <v>17.636329363098472</v>
      </c>
      <c r="H28" s="27">
        <f t="shared" si="1"/>
        <v>4.6219624041934662</v>
      </c>
      <c r="I28" s="27">
        <f t="shared" si="2"/>
        <v>219.78540421792988</v>
      </c>
      <c r="J28" s="27">
        <f t="shared" si="6"/>
        <v>13945.721460207569</v>
      </c>
      <c r="K28" s="28">
        <f t="shared" si="3"/>
        <v>856.58262078491703</v>
      </c>
      <c r="Q28" s="14" t="s">
        <v>31</v>
      </c>
      <c r="R28" s="16">
        <f>RSQ(C:C,H:H)</f>
        <v>0.82856735165237527</v>
      </c>
    </row>
    <row r="29" spans="1:18" x14ac:dyDescent="0.25">
      <c r="A29" s="70"/>
      <c r="B29" s="22" t="s">
        <v>16</v>
      </c>
      <c r="C29" s="22">
        <v>28</v>
      </c>
      <c r="D29" s="23">
        <f t="shared" si="4"/>
        <v>784</v>
      </c>
      <c r="E29" s="25">
        <v>104.13030000000001</v>
      </c>
      <c r="F29" s="25">
        <f t="shared" si="0"/>
        <v>106.96232148355956</v>
      </c>
      <c r="G29" s="26">
        <f t="shared" si="5"/>
        <v>8.0203456833428781</v>
      </c>
      <c r="H29" s="27">
        <f t="shared" si="1"/>
        <v>4.6456429995517716</v>
      </c>
      <c r="I29" s="27">
        <f t="shared" si="2"/>
        <v>225.1834762701385</v>
      </c>
      <c r="J29" s="27">
        <f t="shared" si="6"/>
        <v>14653.871485089221</v>
      </c>
      <c r="K29" s="28">
        <f t="shared" si="3"/>
        <v>915.39733756319765</v>
      </c>
    </row>
    <row r="30" spans="1:18" x14ac:dyDescent="0.25">
      <c r="A30" s="70">
        <v>2017</v>
      </c>
      <c r="B30" s="22" t="s">
        <v>13</v>
      </c>
      <c r="C30" s="22">
        <v>29</v>
      </c>
      <c r="D30" s="23">
        <f t="shared" si="4"/>
        <v>841</v>
      </c>
      <c r="E30" s="25">
        <v>108.4272</v>
      </c>
      <c r="F30" s="25">
        <f t="shared" si="0"/>
        <v>108.03167997043739</v>
      </c>
      <c r="G30" s="26">
        <f t="shared" si="5"/>
        <v>0.15643609378520332</v>
      </c>
      <c r="H30" s="27">
        <f t="shared" si="1"/>
        <v>4.6860789800389835</v>
      </c>
      <c r="I30" s="27">
        <f t="shared" si="2"/>
        <v>235.02671170761855</v>
      </c>
      <c r="J30" s="27">
        <f t="shared" si="6"/>
        <v>16027.436364607445</v>
      </c>
      <c r="K30" s="28">
        <f t="shared" si="3"/>
        <v>976.35077131523383</v>
      </c>
    </row>
    <row r="31" spans="1:18" x14ac:dyDescent="0.25">
      <c r="A31" s="70"/>
      <c r="B31" s="22" t="s">
        <v>14</v>
      </c>
      <c r="C31" s="22">
        <v>30</v>
      </c>
      <c r="D31" s="23">
        <f t="shared" si="4"/>
        <v>900</v>
      </c>
      <c r="E31" s="25">
        <v>107.9365</v>
      </c>
      <c r="F31" s="25">
        <f t="shared" si="0"/>
        <v>109.10103845731521</v>
      </c>
      <c r="G31" s="26">
        <f t="shared" si="5"/>
        <v>1.3561498185661056</v>
      </c>
      <c r="H31" s="27">
        <f t="shared" si="1"/>
        <v>4.6815430912432507</v>
      </c>
      <c r="I31" s="27">
        <f t="shared" si="2"/>
        <v>233.88121089642158</v>
      </c>
      <c r="J31" s="27">
        <f t="shared" si="6"/>
        <v>15862.070202783214</v>
      </c>
      <c r="K31" s="28">
        <f t="shared" si="3"/>
        <v>1039.4429220410257</v>
      </c>
    </row>
    <row r="32" spans="1:18" x14ac:dyDescent="0.25">
      <c r="A32" s="70"/>
      <c r="B32" s="22" t="s">
        <v>15</v>
      </c>
      <c r="C32" s="22">
        <v>31</v>
      </c>
      <c r="D32" s="23">
        <f t="shared" si="4"/>
        <v>961</v>
      </c>
      <c r="E32" s="25">
        <v>105.88849999999999</v>
      </c>
      <c r="F32" s="25">
        <f t="shared" si="0"/>
        <v>110.17039694419304</v>
      </c>
      <c r="G32" s="26">
        <f t="shared" si="5"/>
        <v>18.334641440689783</v>
      </c>
      <c r="H32" s="27">
        <f t="shared" si="1"/>
        <v>4.6623866536984373</v>
      </c>
      <c r="I32" s="27">
        <f t="shared" si="2"/>
        <v>229.16028210405048</v>
      </c>
      <c r="J32" s="27">
        <f t="shared" si="6"/>
        <v>15195.932263108502</v>
      </c>
      <c r="K32" s="28">
        <f t="shared" si="3"/>
        <v>1104.6737897405731</v>
      </c>
    </row>
    <row r="33" spans="1:11" x14ac:dyDescent="0.25">
      <c r="A33" s="70"/>
      <c r="B33" s="22" t="s">
        <v>16</v>
      </c>
      <c r="C33" s="22">
        <v>32</v>
      </c>
      <c r="D33" s="23">
        <f t="shared" si="4"/>
        <v>1024</v>
      </c>
      <c r="E33" s="25">
        <v>111.4751</v>
      </c>
      <c r="F33" s="25">
        <f t="shared" si="0"/>
        <v>111.23975543107088</v>
      </c>
      <c r="G33" s="26">
        <f t="shared" si="5"/>
        <v>5.5387066124434274E-2</v>
      </c>
      <c r="H33" s="27">
        <f t="shared" si="1"/>
        <v>4.7138012475752591</v>
      </c>
      <c r="I33" s="27">
        <f t="shared" si="2"/>
        <v>242.26852157290784</v>
      </c>
      <c r="J33" s="27">
        <f t="shared" si="6"/>
        <v>17106.919126748395</v>
      </c>
      <c r="K33" s="28">
        <f t="shared" si="3"/>
        <v>1172.0433744138763</v>
      </c>
    </row>
    <row r="34" spans="1:11" x14ac:dyDescent="0.25">
      <c r="A34" s="70">
        <v>2018</v>
      </c>
      <c r="B34" s="22" t="s">
        <v>13</v>
      </c>
      <c r="C34" s="22">
        <v>33</v>
      </c>
      <c r="D34" s="23">
        <f t="shared" si="4"/>
        <v>1089</v>
      </c>
      <c r="E34" s="25">
        <v>109.6913</v>
      </c>
      <c r="F34" s="25">
        <f t="shared" ref="F34:F52" si="7">$R$8*C34+$R$9</f>
        <v>112.30911391794871</v>
      </c>
      <c r="G34" s="26">
        <f t="shared" si="5"/>
        <v>6.8529497090059701</v>
      </c>
      <c r="H34" s="27">
        <f t="shared" ref="H34:H52" si="8">LN(E34)</f>
        <v>4.6976700569347436</v>
      </c>
      <c r="I34" s="27">
        <f t="shared" ref="I34:I52" si="9">$R$27*EXP($R$25*E34)</f>
        <v>238.00356390686198</v>
      </c>
      <c r="J34" s="27">
        <f t="shared" si="6"/>
        <v>16464.037068904192</v>
      </c>
      <c r="K34" s="28">
        <f t="shared" ref="K34:K52" si="10">$R$8*D34+$R$9</f>
        <v>1241.5516760609351</v>
      </c>
    </row>
    <row r="35" spans="1:11" x14ac:dyDescent="0.25">
      <c r="A35" s="70"/>
      <c r="B35" s="22" t="s">
        <v>14</v>
      </c>
      <c r="C35" s="22">
        <v>34</v>
      </c>
      <c r="D35" s="23">
        <f t="shared" si="4"/>
        <v>1156</v>
      </c>
      <c r="E35" s="25">
        <v>110.6687</v>
      </c>
      <c r="F35" s="25">
        <f t="shared" si="7"/>
        <v>113.37847240482654</v>
      </c>
      <c r="G35" s="26">
        <f t="shared" si="5"/>
        <v>7.3428664859593971</v>
      </c>
      <c r="H35" s="27">
        <f t="shared" si="8"/>
        <v>4.7065410535735639</v>
      </c>
      <c r="I35" s="27">
        <f t="shared" si="9"/>
        <v>240.33108370141369</v>
      </c>
      <c r="J35" s="27">
        <f t="shared" si="6"/>
        <v>16812.33374713263</v>
      </c>
      <c r="K35" s="28">
        <f t="shared" si="10"/>
        <v>1313.1986946817497</v>
      </c>
    </row>
    <row r="36" spans="1:11" x14ac:dyDescent="0.25">
      <c r="A36" s="70"/>
      <c r="B36" s="22" t="s">
        <v>15</v>
      </c>
      <c r="C36" s="22">
        <v>35</v>
      </c>
      <c r="D36" s="23">
        <f t="shared" si="4"/>
        <v>1225</v>
      </c>
      <c r="E36" s="25">
        <v>113.6619</v>
      </c>
      <c r="F36" s="25">
        <f t="shared" si="7"/>
        <v>114.44783089170436</v>
      </c>
      <c r="G36" s="26">
        <f t="shared" si="5"/>
        <v>0.61768736653520018</v>
      </c>
      <c r="H36" s="27">
        <f t="shared" si="8"/>
        <v>4.7332282522522195</v>
      </c>
      <c r="I36" s="27">
        <f t="shared" si="9"/>
        <v>247.60144512873421</v>
      </c>
      <c r="J36" s="27">
        <f t="shared" si="6"/>
        <v>17939.801749292226</v>
      </c>
      <c r="K36" s="28">
        <f t="shared" si="10"/>
        <v>1386.9844302763197</v>
      </c>
    </row>
    <row r="37" spans="1:11" x14ac:dyDescent="0.25">
      <c r="A37" s="70"/>
      <c r="B37" s="22" t="s">
        <v>16</v>
      </c>
      <c r="C37" s="22">
        <v>36</v>
      </c>
      <c r="D37" s="23">
        <f t="shared" si="4"/>
        <v>1296</v>
      </c>
      <c r="E37" s="25">
        <v>104.7972</v>
      </c>
      <c r="F37" s="25">
        <f t="shared" si="7"/>
        <v>115.51718937858219</v>
      </c>
      <c r="G37" s="26">
        <f t="shared" si="5"/>
        <v>114.91817227691485</v>
      </c>
      <c r="H37" s="27">
        <f t="shared" si="8"/>
        <v>4.6520270539727697</v>
      </c>
      <c r="I37" s="27">
        <f t="shared" si="9"/>
        <v>226.68372260711607</v>
      </c>
      <c r="J37" s="27">
        <f t="shared" si="6"/>
        <v>14856.324393255016</v>
      </c>
      <c r="K37" s="28">
        <f t="shared" si="10"/>
        <v>1462.9088828446456</v>
      </c>
    </row>
    <row r="38" spans="1:11" x14ac:dyDescent="0.25">
      <c r="A38" s="70">
        <v>2019</v>
      </c>
      <c r="B38" s="22" t="s">
        <v>13</v>
      </c>
      <c r="C38" s="22">
        <v>37</v>
      </c>
      <c r="D38" s="23">
        <f t="shared" si="4"/>
        <v>1369</v>
      </c>
      <c r="E38" s="25">
        <v>109.1031</v>
      </c>
      <c r="F38" s="25">
        <f t="shared" si="7"/>
        <v>116.58654786546002</v>
      </c>
      <c r="G38" s="26">
        <f t="shared" si="5"/>
        <v>56.001991955058159</v>
      </c>
      <c r="H38" s="27">
        <f t="shared" si="8"/>
        <v>4.6922933067341548</v>
      </c>
      <c r="I38" s="27">
        <f t="shared" si="9"/>
        <v>236.61373934474366</v>
      </c>
      <c r="J38" s="27">
        <f t="shared" si="6"/>
        <v>16258.963146105292</v>
      </c>
      <c r="K38" s="28">
        <f t="shared" si="10"/>
        <v>1540.972052386727</v>
      </c>
    </row>
    <row r="39" spans="1:11" x14ac:dyDescent="0.25">
      <c r="A39" s="70"/>
      <c r="B39" s="22" t="s">
        <v>14</v>
      </c>
      <c r="C39" s="22">
        <v>38</v>
      </c>
      <c r="D39" s="23">
        <f t="shared" si="4"/>
        <v>1444</v>
      </c>
      <c r="E39" s="25">
        <v>114.1865</v>
      </c>
      <c r="F39" s="25">
        <f t="shared" si="7"/>
        <v>117.65590635233784</v>
      </c>
      <c r="G39" s="26">
        <f t="shared" si="5"/>
        <v>12.036780437642168</v>
      </c>
      <c r="H39" s="27">
        <f t="shared" si="8"/>
        <v>4.737833076573879</v>
      </c>
      <c r="I39" s="27">
        <f t="shared" si="9"/>
        <v>248.89814308967178</v>
      </c>
      <c r="J39" s="27">
        <f t="shared" si="6"/>
        <v>18147.226783919115</v>
      </c>
      <c r="K39" s="28">
        <f t="shared" si="10"/>
        <v>1621.173938902564</v>
      </c>
    </row>
    <row r="40" spans="1:11" x14ac:dyDescent="0.25">
      <c r="A40" s="70"/>
      <c r="B40" s="22" t="s">
        <v>15</v>
      </c>
      <c r="C40" s="22">
        <v>39</v>
      </c>
      <c r="D40" s="23">
        <f t="shared" si="4"/>
        <v>1521</v>
      </c>
      <c r="E40" s="25">
        <v>114.89660000000001</v>
      </c>
      <c r="F40" s="25">
        <f t="shared" si="7"/>
        <v>118.72526483921567</v>
      </c>
      <c r="G40" s="26">
        <f t="shared" si="5"/>
        <v>14.658674451046291</v>
      </c>
      <c r="H40" s="27">
        <f t="shared" si="8"/>
        <v>4.7440325934682379</v>
      </c>
      <c r="I40" s="27">
        <f t="shared" si="9"/>
        <v>250.66418098056985</v>
      </c>
      <c r="J40" s="27">
        <f t="shared" si="6"/>
        <v>18432.836045315591</v>
      </c>
      <c r="K40" s="28">
        <f t="shared" si="10"/>
        <v>1703.514542392157</v>
      </c>
    </row>
    <row r="41" spans="1:11" x14ac:dyDescent="0.25">
      <c r="A41" s="70"/>
      <c r="B41" s="22" t="s">
        <v>16</v>
      </c>
      <c r="C41" s="22">
        <v>40</v>
      </c>
      <c r="D41" s="23">
        <f t="shared" si="4"/>
        <v>1600</v>
      </c>
      <c r="E41" s="25">
        <v>117.0793</v>
      </c>
      <c r="F41" s="25">
        <f t="shared" si="7"/>
        <v>119.7946233260935</v>
      </c>
      <c r="G41" s="26">
        <f t="shared" si="5"/>
        <v>7.3729807652274504</v>
      </c>
      <c r="H41" s="27">
        <f t="shared" si="8"/>
        <v>4.7628514829879096</v>
      </c>
      <c r="I41" s="27">
        <f t="shared" si="9"/>
        <v>256.17145562507051</v>
      </c>
      <c r="J41" s="27">
        <f t="shared" si="6"/>
        <v>19346.627756428836</v>
      </c>
      <c r="K41" s="28">
        <f t="shared" si="10"/>
        <v>1787.9938628555053</v>
      </c>
    </row>
    <row r="42" spans="1:11" x14ac:dyDescent="0.25">
      <c r="A42" s="70">
        <v>2020</v>
      </c>
      <c r="B42" s="22" t="s">
        <v>13</v>
      </c>
      <c r="C42" s="22">
        <v>41</v>
      </c>
      <c r="D42" s="23">
        <f t="shared" si="4"/>
        <v>1681</v>
      </c>
      <c r="E42" s="25">
        <v>113.1711</v>
      </c>
      <c r="F42" s="25">
        <f t="shared" si="7"/>
        <v>120.86398181297133</v>
      </c>
      <c r="G42" s="26">
        <f t="shared" si="5"/>
        <v>59.180430588345153</v>
      </c>
      <c r="H42" s="27">
        <f t="shared" si="8"/>
        <v>4.7289008328210427</v>
      </c>
      <c r="I42" s="27">
        <f t="shared" si="9"/>
        <v>246.39441077211001</v>
      </c>
      <c r="J42" s="27">
        <f t="shared" si="6"/>
        <v>17748.450533082203</v>
      </c>
      <c r="K42" s="28">
        <f t="shared" si="10"/>
        <v>1874.6119002926093</v>
      </c>
    </row>
    <row r="43" spans="1:11" x14ac:dyDescent="0.25">
      <c r="A43" s="70"/>
      <c r="B43" s="22" t="s">
        <v>14</v>
      </c>
      <c r="C43" s="22">
        <v>42</v>
      </c>
      <c r="D43" s="23">
        <f t="shared" si="4"/>
        <v>1764</v>
      </c>
      <c r="E43" s="25">
        <v>103.3257</v>
      </c>
      <c r="F43" s="25">
        <f t="shared" si="7"/>
        <v>121.93334029984916</v>
      </c>
      <c r="G43" s="26">
        <f t="shared" si="5"/>
        <v>346.24427752857076</v>
      </c>
      <c r="H43" s="27">
        <f t="shared" si="8"/>
        <v>4.637886135114746</v>
      </c>
      <c r="I43" s="27">
        <f t="shared" si="9"/>
        <v>223.38667224977945</v>
      </c>
      <c r="J43" s="27">
        <f t="shared" si="6"/>
        <v>14414.637057562311</v>
      </c>
      <c r="K43" s="28">
        <f t="shared" si="10"/>
        <v>1963.368654703469</v>
      </c>
    </row>
    <row r="44" spans="1:11" x14ac:dyDescent="0.25">
      <c r="A44" s="70"/>
      <c r="B44" s="22" t="s">
        <v>15</v>
      </c>
      <c r="C44" s="22">
        <v>43</v>
      </c>
      <c r="D44" s="23">
        <f t="shared" si="4"/>
        <v>1849</v>
      </c>
      <c r="E44" s="25">
        <v>113.2623</v>
      </c>
      <c r="F44" s="25">
        <f t="shared" si="7"/>
        <v>123.00269878672698</v>
      </c>
      <c r="G44" s="26">
        <f t="shared" si="5"/>
        <v>94.87536852447252</v>
      </c>
      <c r="H44" s="27">
        <f t="shared" si="8"/>
        <v>4.7297063677371067</v>
      </c>
      <c r="I44" s="27">
        <f t="shared" si="9"/>
        <v>246.61825480487465</v>
      </c>
      <c r="J44" s="27">
        <f t="shared" si="6"/>
        <v>17783.810681919775</v>
      </c>
      <c r="K44" s="28">
        <f t="shared" si="10"/>
        <v>2054.2641260880846</v>
      </c>
    </row>
    <row r="45" spans="1:11" x14ac:dyDescent="0.25">
      <c r="A45" s="70"/>
      <c r="B45" s="22" t="s">
        <v>16</v>
      </c>
      <c r="C45" s="22">
        <v>44</v>
      </c>
      <c r="D45" s="23">
        <f t="shared" si="4"/>
        <v>1936</v>
      </c>
      <c r="E45" s="25">
        <v>117.4307</v>
      </c>
      <c r="F45" s="25">
        <f t="shared" si="7"/>
        <v>124.07205727360481</v>
      </c>
      <c r="G45" s="26">
        <f t="shared" si="5"/>
        <v>44.107626435663526</v>
      </c>
      <c r="H45" s="27">
        <f t="shared" si="8"/>
        <v>4.7658483723572642</v>
      </c>
      <c r="I45" s="27">
        <f t="shared" si="9"/>
        <v>257.0693290360116</v>
      </c>
      <c r="J45" s="27">
        <f t="shared" si="6"/>
        <v>19498.946719056861</v>
      </c>
      <c r="K45" s="28">
        <f t="shared" si="10"/>
        <v>2147.2983144464556</v>
      </c>
    </row>
    <row r="46" spans="1:11" x14ac:dyDescent="0.25">
      <c r="A46" s="70">
        <v>2021</v>
      </c>
      <c r="B46" s="22" t="s">
        <v>13</v>
      </c>
      <c r="C46" s="22">
        <v>45</v>
      </c>
      <c r="D46" s="23">
        <f t="shared" si="4"/>
        <v>2025</v>
      </c>
      <c r="E46" s="25">
        <v>127.229</v>
      </c>
      <c r="F46" s="25">
        <f t="shared" si="7"/>
        <v>125.14141576048264</v>
      </c>
      <c r="G46" s="26">
        <f t="shared" si="5"/>
        <v>4.3580079570812531</v>
      </c>
      <c r="H46" s="27">
        <f t="shared" si="8"/>
        <v>4.8459886123422224</v>
      </c>
      <c r="I46" s="27">
        <f t="shared" si="9"/>
        <v>283.41327402044215</v>
      </c>
      <c r="J46" s="27">
        <f t="shared" si="6"/>
        <v>24393.527451292564</v>
      </c>
      <c r="K46" s="28">
        <f t="shared" si="10"/>
        <v>2242.4712197785821</v>
      </c>
    </row>
    <row r="47" spans="1:11" x14ac:dyDescent="0.25">
      <c r="A47" s="70"/>
      <c r="B47" s="22" t="s">
        <v>14</v>
      </c>
      <c r="C47" s="22">
        <v>46</v>
      </c>
      <c r="D47" s="23">
        <f t="shared" si="4"/>
        <v>2116</v>
      </c>
      <c r="E47" s="25">
        <v>136.49809999999999</v>
      </c>
      <c r="F47" s="25">
        <f t="shared" si="7"/>
        <v>126.21077424736046</v>
      </c>
      <c r="G47" s="26">
        <f t="shared" si="5"/>
        <v>105.82907114092052</v>
      </c>
      <c r="H47" s="27">
        <f t="shared" si="8"/>
        <v>4.9163106951142188</v>
      </c>
      <c r="I47" s="27">
        <f t="shared" si="9"/>
        <v>310.81483369755921</v>
      </c>
      <c r="J47" s="27">
        <f t="shared" si="6"/>
        <v>30386.323646985777</v>
      </c>
      <c r="K47" s="28">
        <f t="shared" si="10"/>
        <v>2339.7828420844644</v>
      </c>
    </row>
    <row r="48" spans="1:11" x14ac:dyDescent="0.25">
      <c r="A48" s="70"/>
      <c r="B48" s="22" t="s">
        <v>15</v>
      </c>
      <c r="C48" s="22">
        <v>47</v>
      </c>
      <c r="D48" s="23">
        <f t="shared" si="4"/>
        <v>2209</v>
      </c>
      <c r="E48" s="25">
        <v>142.14060000000001</v>
      </c>
      <c r="F48" s="25">
        <f t="shared" si="7"/>
        <v>127.28013273423829</v>
      </c>
      <c r="G48" s="26">
        <f t="shared" si="5"/>
        <v>220.83348735677541</v>
      </c>
      <c r="H48" s="27">
        <f t="shared" si="8"/>
        <v>4.9568167085802157</v>
      </c>
      <c r="I48" s="27">
        <f t="shared" si="9"/>
        <v>328.77675273094405</v>
      </c>
      <c r="J48" s="27">
        <f t="shared" si="6"/>
        <v>34833.053506208271</v>
      </c>
      <c r="K48" s="28">
        <f t="shared" si="10"/>
        <v>2439.2331813641026</v>
      </c>
    </row>
    <row r="49" spans="1:11" x14ac:dyDescent="0.25">
      <c r="A49" s="70"/>
      <c r="B49" s="22" t="s">
        <v>16</v>
      </c>
      <c r="C49" s="22">
        <v>48</v>
      </c>
      <c r="D49" s="23">
        <f t="shared" si="4"/>
        <v>2304</v>
      </c>
      <c r="E49" s="25">
        <v>146.7877</v>
      </c>
      <c r="F49" s="25">
        <f t="shared" si="7"/>
        <v>128.34949122111612</v>
      </c>
      <c r="G49" s="26">
        <f t="shared" si="5"/>
        <v>339.96754297371041</v>
      </c>
      <c r="H49" s="27">
        <f t="shared" si="8"/>
        <v>4.9889873252041097</v>
      </c>
      <c r="I49" s="27">
        <f t="shared" si="9"/>
        <v>344.34687472077212</v>
      </c>
      <c r="J49" s="27">
        <f t="shared" si="6"/>
        <v>39029.627516352564</v>
      </c>
      <c r="K49" s="28">
        <f t="shared" si="10"/>
        <v>2540.8222376174963</v>
      </c>
    </row>
    <row r="50" spans="1:11" x14ac:dyDescent="0.25">
      <c r="A50" s="70">
        <v>2022</v>
      </c>
      <c r="B50" s="22" t="s">
        <v>13</v>
      </c>
      <c r="C50" s="22">
        <v>49</v>
      </c>
      <c r="D50" s="23">
        <f t="shared" si="4"/>
        <v>2401</v>
      </c>
      <c r="E50" s="25">
        <v>148.52099999999999</v>
      </c>
      <c r="F50" s="25">
        <f t="shared" si="7"/>
        <v>129.41884970799396</v>
      </c>
      <c r="G50" s="26">
        <f t="shared" si="5"/>
        <v>364.89214577838607</v>
      </c>
      <c r="H50" s="27">
        <f t="shared" si="8"/>
        <v>5.0007263623861311</v>
      </c>
      <c r="I50" s="27">
        <f t="shared" si="9"/>
        <v>350.34127144917608</v>
      </c>
      <c r="J50" s="27">
        <f t="shared" si="6"/>
        <v>40731.421967819122</v>
      </c>
      <c r="K50" s="28">
        <f t="shared" si="10"/>
        <v>2644.5500108446454</v>
      </c>
    </row>
    <row r="51" spans="1:11" x14ac:dyDescent="0.25">
      <c r="A51" s="70"/>
      <c r="B51" s="22" t="s">
        <v>14</v>
      </c>
      <c r="C51" s="22">
        <v>50</v>
      </c>
      <c r="D51" s="23">
        <f t="shared" si="4"/>
        <v>2500</v>
      </c>
      <c r="E51" s="25">
        <v>143.51480000000001</v>
      </c>
      <c r="F51" s="25">
        <f t="shared" si="7"/>
        <v>130.48820819487179</v>
      </c>
      <c r="G51" s="26">
        <f t="shared" si="5"/>
        <v>169.69209405743371</v>
      </c>
      <c r="H51" s="27">
        <f t="shared" si="8"/>
        <v>4.9664381657700378</v>
      </c>
      <c r="I51" s="27">
        <f t="shared" si="9"/>
        <v>333.30623153445617</v>
      </c>
      <c r="J51" s="27">
        <f t="shared" si="6"/>
        <v>36020.787483898159</v>
      </c>
      <c r="K51" s="28">
        <f t="shared" si="10"/>
        <v>2750.4165010455504</v>
      </c>
    </row>
    <row r="52" spans="1:11" x14ac:dyDescent="0.25">
      <c r="A52" s="70"/>
      <c r="B52" s="22" t="s">
        <v>15</v>
      </c>
      <c r="C52" s="22">
        <v>51</v>
      </c>
      <c r="D52" s="23">
        <f t="shared" si="4"/>
        <v>2601</v>
      </c>
      <c r="E52" s="25">
        <v>134.69749999999999</v>
      </c>
      <c r="F52" s="25">
        <f t="shared" si="7"/>
        <v>131.55756668174962</v>
      </c>
      <c r="G52" s="26">
        <f t="shared" si="5"/>
        <v>9.8591812430587851</v>
      </c>
      <c r="H52" s="27">
        <f t="shared" si="8"/>
        <v>4.9030315234816486</v>
      </c>
      <c r="I52" s="27">
        <f t="shared" si="9"/>
        <v>305.29209692777943</v>
      </c>
      <c r="J52" s="27">
        <f t="shared" si="6"/>
        <v>29102.516500951533</v>
      </c>
      <c r="K52" s="28">
        <f t="shared" si="10"/>
        <v>2858.4217082202113</v>
      </c>
    </row>
    <row r="53" spans="1:11" x14ac:dyDescent="0.25">
      <c r="A53" s="70"/>
      <c r="B53" s="22"/>
      <c r="C53" s="22"/>
      <c r="D53" s="22"/>
      <c r="E53" s="22"/>
      <c r="F53" s="22"/>
      <c r="G53" s="22"/>
      <c r="H53" s="22"/>
      <c r="I53" s="22"/>
      <c r="J53" s="22"/>
      <c r="K53" s="22"/>
    </row>
    <row r="54" spans="1:11" x14ac:dyDescent="0.25">
      <c r="C54"/>
      <c r="D54"/>
      <c r="G54"/>
      <c r="H54"/>
      <c r="I54"/>
      <c r="J54"/>
    </row>
    <row r="55" spans="1:11" x14ac:dyDescent="0.25">
      <c r="C55"/>
      <c r="D55"/>
      <c r="G55"/>
      <c r="H55"/>
      <c r="I55"/>
      <c r="J55"/>
    </row>
    <row r="56" spans="1:11" x14ac:dyDescent="0.25">
      <c r="C56"/>
      <c r="D56"/>
      <c r="G56"/>
      <c r="H56"/>
      <c r="I56"/>
      <c r="J56"/>
    </row>
    <row r="57" spans="1:11" x14ac:dyDescent="0.25">
      <c r="C57"/>
      <c r="D57"/>
      <c r="G57"/>
      <c r="H57"/>
      <c r="I57"/>
      <c r="J57"/>
    </row>
    <row r="58" spans="1:11" x14ac:dyDescent="0.25">
      <c r="C58"/>
      <c r="D58"/>
      <c r="E58" s="1"/>
    </row>
    <row r="59" spans="1:11" x14ac:dyDescent="0.25">
      <c r="C59"/>
      <c r="D59"/>
      <c r="E59" s="1"/>
    </row>
    <row r="60" spans="1:11" x14ac:dyDescent="0.25">
      <c r="C60"/>
      <c r="D60"/>
      <c r="E60" s="1"/>
    </row>
    <row r="61" spans="1:11" x14ac:dyDescent="0.25">
      <c r="C61"/>
      <c r="D61"/>
      <c r="E61" s="1"/>
    </row>
    <row r="62" spans="1:11" x14ac:dyDescent="0.25">
      <c r="C62"/>
      <c r="D62"/>
      <c r="E62" s="1"/>
    </row>
    <row r="63" spans="1:11" x14ac:dyDescent="0.25">
      <c r="C63"/>
      <c r="D63"/>
      <c r="E63" s="1"/>
    </row>
    <row r="64" spans="1:11" x14ac:dyDescent="0.25">
      <c r="C64"/>
      <c r="D64"/>
      <c r="E64" s="1"/>
    </row>
    <row r="65" spans="3:5" x14ac:dyDescent="0.25">
      <c r="C65"/>
      <c r="D65"/>
      <c r="E65" s="1"/>
    </row>
    <row r="66" spans="3:5" x14ac:dyDescent="0.25">
      <c r="C66"/>
      <c r="D66"/>
      <c r="E66" s="1"/>
    </row>
    <row r="67" spans="3:5" x14ac:dyDescent="0.25">
      <c r="C67"/>
      <c r="D67"/>
      <c r="E67" s="1"/>
    </row>
    <row r="68" spans="3:5" x14ac:dyDescent="0.25">
      <c r="C68"/>
      <c r="D68"/>
      <c r="E68" s="1"/>
    </row>
    <row r="69" spans="3:5" x14ac:dyDescent="0.25">
      <c r="C69"/>
      <c r="D69"/>
      <c r="E69" s="1"/>
    </row>
    <row r="70" spans="3:5" x14ac:dyDescent="0.25">
      <c r="C70"/>
      <c r="D70"/>
      <c r="E70" s="1"/>
    </row>
    <row r="71" spans="3:5" x14ac:dyDescent="0.25">
      <c r="C71"/>
      <c r="D71"/>
      <c r="E71" s="1"/>
    </row>
    <row r="72" spans="3:5" x14ac:dyDescent="0.25">
      <c r="C72"/>
      <c r="D72"/>
      <c r="E72" s="1"/>
    </row>
    <row r="73" spans="3:5" x14ac:dyDescent="0.25">
      <c r="C73"/>
      <c r="D73"/>
      <c r="E73" s="1"/>
    </row>
    <row r="74" spans="3:5" x14ac:dyDescent="0.25">
      <c r="C74"/>
      <c r="D74"/>
      <c r="E74" s="1"/>
    </row>
    <row r="75" spans="3:5" x14ac:dyDescent="0.25">
      <c r="C75"/>
      <c r="D75"/>
      <c r="E75" s="1"/>
    </row>
    <row r="76" spans="3:5" x14ac:dyDescent="0.25">
      <c r="C76"/>
      <c r="D76"/>
      <c r="E76" s="1"/>
    </row>
    <row r="77" spans="3:5" x14ac:dyDescent="0.25">
      <c r="C77"/>
      <c r="D77"/>
      <c r="E77" s="1"/>
    </row>
    <row r="78" spans="3:5" x14ac:dyDescent="0.25">
      <c r="C78"/>
      <c r="D78"/>
      <c r="E78" s="1"/>
    </row>
    <row r="79" spans="3:5" x14ac:dyDescent="0.25">
      <c r="C79"/>
      <c r="D79"/>
      <c r="E79" s="1"/>
    </row>
    <row r="80" spans="3:5" x14ac:dyDescent="0.25">
      <c r="C80"/>
      <c r="D80"/>
      <c r="E80" s="1"/>
    </row>
    <row r="81" spans="3:5" x14ac:dyDescent="0.25">
      <c r="C81"/>
      <c r="D81"/>
      <c r="E81" s="1"/>
    </row>
  </sheetData>
  <mergeCells count="16">
    <mergeCell ref="A50:A53"/>
    <mergeCell ref="Q2:R2"/>
    <mergeCell ref="Q23:R23"/>
    <mergeCell ref="M2:N2"/>
    <mergeCell ref="A26:A29"/>
    <mergeCell ref="A30:A33"/>
    <mergeCell ref="A34:A37"/>
    <mergeCell ref="A38:A41"/>
    <mergeCell ref="A42:A45"/>
    <mergeCell ref="A46:A49"/>
    <mergeCell ref="A2:A5"/>
    <mergeCell ref="A6:A9"/>
    <mergeCell ref="A10:A13"/>
    <mergeCell ref="A14:A17"/>
    <mergeCell ref="A18:A21"/>
    <mergeCell ref="A22:A25"/>
  </mergeCells>
  <conditionalFormatting sqref="N3:N5">
    <cfRule type="top10" dxfId="8" priority="1" bottom="1" rank="1"/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C2267-38FB-4277-AF03-908BA4FB64E1}">
  <dimension ref="A1:O81"/>
  <sheetViews>
    <sheetView showGridLines="0" tabSelected="1" topLeftCell="E1" workbookViewId="0">
      <selection activeCell="W22" sqref="W22"/>
    </sheetView>
  </sheetViews>
  <sheetFormatPr baseColWidth="10" defaultRowHeight="15" x14ac:dyDescent="0.25"/>
  <cols>
    <col min="3" max="3" width="11.42578125" style="1"/>
    <col min="6" max="6" width="13.42578125" bestFit="1" customWidth="1"/>
    <col min="7" max="7" width="12.7109375" customWidth="1"/>
    <col min="14" max="14" width="13.42578125" bestFit="1" customWidth="1"/>
    <col min="15" max="15" width="9.5703125" bestFit="1" customWidth="1"/>
  </cols>
  <sheetData>
    <row r="1" spans="1:15" ht="16.5" thickBot="1" x14ac:dyDescent="0.3">
      <c r="A1" s="32" t="s">
        <v>1</v>
      </c>
      <c r="B1" s="32" t="s">
        <v>2</v>
      </c>
      <c r="C1" s="32" t="s">
        <v>0</v>
      </c>
      <c r="D1" s="32" t="s">
        <v>18</v>
      </c>
      <c r="E1" s="32" t="s">
        <v>12</v>
      </c>
      <c r="F1" s="32" t="s">
        <v>17</v>
      </c>
      <c r="G1" s="32" t="s">
        <v>19</v>
      </c>
      <c r="H1" s="32" t="s">
        <v>20</v>
      </c>
      <c r="I1" s="32" t="s">
        <v>21</v>
      </c>
      <c r="J1" s="32" t="s">
        <v>22</v>
      </c>
      <c r="K1" s="32" t="s">
        <v>23</v>
      </c>
      <c r="L1" s="32" t="s">
        <v>43</v>
      </c>
    </row>
    <row r="2" spans="1:15" ht="15.75" x14ac:dyDescent="0.25">
      <c r="A2" s="70">
        <v>2010</v>
      </c>
      <c r="B2" s="22" t="s">
        <v>13</v>
      </c>
      <c r="C2" s="22">
        <v>1</v>
      </c>
      <c r="D2" s="24">
        <v>81.548349999999999</v>
      </c>
      <c r="E2" s="25">
        <f t="shared" ref="E2:E33" si="0">$O$8*C2+$O$9</f>
        <v>78.089642337858209</v>
      </c>
      <c r="F2" s="25">
        <f>D2-E2</f>
        <v>3.4587076621417907</v>
      </c>
      <c r="G2" s="25">
        <f>($F$2+$F$6+$F$10+$F$14+$F$18+$F$22+$F$26+$F$30+$F$34+$F$38+$F$42+$F$46+$F$50)/13</f>
        <v>0.82017628476622384</v>
      </c>
      <c r="H2" s="25">
        <f>G$2-AVERAGE(G$2:G$5)</f>
        <v>0.63797100445526955</v>
      </c>
      <c r="I2" s="25">
        <f>H2-D2</f>
        <v>-80.910378995544733</v>
      </c>
      <c r="J2" s="25">
        <f>E2+H2</f>
        <v>78.727613342313475</v>
      </c>
      <c r="K2" s="25">
        <f>(J2-D2)^2</f>
        <v>7.9565552920165423</v>
      </c>
      <c r="L2" s="25">
        <f>G2+J2</f>
        <v>79.547789627079695</v>
      </c>
      <c r="N2" s="6" t="s">
        <v>3</v>
      </c>
      <c r="O2" s="7" t="s">
        <v>11</v>
      </c>
    </row>
    <row r="3" spans="1:15" x14ac:dyDescent="0.25">
      <c r="A3" s="70"/>
      <c r="B3" s="22" t="s">
        <v>14</v>
      </c>
      <c r="C3" s="22">
        <v>2</v>
      </c>
      <c r="D3" s="25">
        <v>82.849109999999996</v>
      </c>
      <c r="E3" s="25">
        <f t="shared" si="0"/>
        <v>79.15900082473604</v>
      </c>
      <c r="F3" s="25">
        <f t="shared" ref="F3:F52" si="1">D3-E3</f>
        <v>3.6901091752639559</v>
      </c>
      <c r="G3" s="25">
        <f>($F$3+$F$7+$F$11+$F$15+$F$19+$F$23+$F$27+$F$31+$F$35+$F$39+$F$43+$F$47+$F$47+$F$51)/13</f>
        <v>1.042849009629901</v>
      </c>
      <c r="H3" s="25">
        <f>G$3-AVERAGE(G$3:G$6)</f>
        <v>0.86064372931894662</v>
      </c>
      <c r="I3" s="25">
        <f t="shared" ref="I3:I57" si="2">H3-D3</f>
        <v>-81.988466270681045</v>
      </c>
      <c r="J3" s="25">
        <f t="shared" ref="J3:L57" si="3">E3+H3</f>
        <v>80.019644554054992</v>
      </c>
      <c r="K3" s="25">
        <f t="shared" ref="K3:K52" si="4">(J3-D3)^2</f>
        <v>8.0058747097967622</v>
      </c>
      <c r="L3" s="25">
        <f t="shared" si="3"/>
        <v>81.062493563684896</v>
      </c>
      <c r="N3" s="2" t="s">
        <v>4</v>
      </c>
      <c r="O3" s="3">
        <f>COVAR(C:C,D:D)</f>
        <v>231.69433882352942</v>
      </c>
    </row>
    <row r="4" spans="1:15" x14ac:dyDescent="0.25">
      <c r="A4" s="70"/>
      <c r="B4" s="22" t="s">
        <v>15</v>
      </c>
      <c r="C4" s="22">
        <v>3</v>
      </c>
      <c r="D4" s="25">
        <v>82.379459999999995</v>
      </c>
      <c r="E4" s="25">
        <f t="shared" si="0"/>
        <v>80.228359311613858</v>
      </c>
      <c r="F4" s="25">
        <f t="shared" si="1"/>
        <v>2.151100688386137</v>
      </c>
      <c r="G4" s="25">
        <f>($F$4+$F$8+$F$12+$F$16+$F$20+$F$24+$F$28+$F$32+$F$36+$F$40+$F$44+$F$48+$F$52)/13</f>
        <v>-0.3215529966817347</v>
      </c>
      <c r="H4" s="25">
        <f>$G$4-AVERAGE($G$4:$G$7)</f>
        <v>-0.50375827699268905</v>
      </c>
      <c r="I4" s="25">
        <f t="shared" si="2"/>
        <v>-82.883218276992679</v>
      </c>
      <c r="J4" s="25">
        <f t="shared" si="3"/>
        <v>79.724601034621173</v>
      </c>
      <c r="K4" s="25">
        <f t="shared" si="4"/>
        <v>7.048276126052305</v>
      </c>
      <c r="L4" s="25">
        <f t="shared" si="3"/>
        <v>79.403048037939442</v>
      </c>
      <c r="N4" s="2" t="s">
        <v>5</v>
      </c>
      <c r="O4" s="3">
        <f>AVERAGE(D:D)</f>
        <v>104.82360450980391</v>
      </c>
    </row>
    <row r="5" spans="1:15" x14ac:dyDescent="0.25">
      <c r="A5" s="70"/>
      <c r="B5" s="22" t="s">
        <v>16</v>
      </c>
      <c r="C5" s="22">
        <v>4</v>
      </c>
      <c r="D5" s="25">
        <v>89.954269999999994</v>
      </c>
      <c r="E5" s="25">
        <f t="shared" si="0"/>
        <v>81.297717798491689</v>
      </c>
      <c r="F5" s="25">
        <f t="shared" si="1"/>
        <v>8.6565522015083047</v>
      </c>
      <c r="G5" s="25">
        <f>($F$5+$F$9+$F$13+$F$17+$F$21+$F$25+$F$29+$F$33+$F$37+$F$41+$F$45+$F$49)/12</f>
        <v>-0.81265117647057272</v>
      </c>
      <c r="H5" s="25">
        <f>$G$5-AVERAGE($G$5:$G$8)</f>
        <v>-0.99485645678152701</v>
      </c>
      <c r="I5" s="25">
        <f t="shared" si="2"/>
        <v>-90.949126456781528</v>
      </c>
      <c r="J5" s="25">
        <f t="shared" si="3"/>
        <v>80.302861341710155</v>
      </c>
      <c r="K5" s="25">
        <f t="shared" si="4"/>
        <v>93.149689089312062</v>
      </c>
      <c r="L5" s="25">
        <f t="shared" si="3"/>
        <v>79.490210165239588</v>
      </c>
      <c r="N5" s="2" t="s">
        <v>6</v>
      </c>
      <c r="O5" s="3">
        <f>AVERAGE(C:C)</f>
        <v>97.258620689655174</v>
      </c>
    </row>
    <row r="6" spans="1:15" x14ac:dyDescent="0.25">
      <c r="A6" s="70">
        <v>2011</v>
      </c>
      <c r="B6" s="22" t="s">
        <v>13</v>
      </c>
      <c r="C6" s="22">
        <v>5</v>
      </c>
      <c r="D6" s="25">
        <v>95.884799999999998</v>
      </c>
      <c r="E6" s="25">
        <f t="shared" si="0"/>
        <v>82.367076285369521</v>
      </c>
      <c r="F6" s="25">
        <f t="shared" si="1"/>
        <v>13.517723714630478</v>
      </c>
      <c r="G6" s="25">
        <f t="shared" ref="G6" si="5">($F$2+$F$6+$F$10+$F$14+$F$18+$F$22+$F$26+$F$30+$F$34+$F$38+$F$42+$F$46+$F$50)/13</f>
        <v>0.82017628476622384</v>
      </c>
      <c r="H6" s="25">
        <f t="shared" ref="H6" si="6">G$2-AVERAGE(G$2:G$5)</f>
        <v>0.63797100445526955</v>
      </c>
      <c r="I6" s="25">
        <f t="shared" si="2"/>
        <v>-95.246828995544732</v>
      </c>
      <c r="J6" s="25">
        <f t="shared" si="3"/>
        <v>83.005047289824788</v>
      </c>
      <c r="K6" s="25">
        <f t="shared" si="4"/>
        <v>165.88802987526569</v>
      </c>
      <c r="L6" s="25">
        <f t="shared" si="3"/>
        <v>83.825223574591007</v>
      </c>
      <c r="N6" s="2" t="s">
        <v>7</v>
      </c>
      <c r="O6" s="3">
        <f>VAR(D:D)</f>
        <v>315.94734064130347</v>
      </c>
    </row>
    <row r="7" spans="1:15" x14ac:dyDescent="0.25">
      <c r="A7" s="70"/>
      <c r="B7" s="22" t="s">
        <v>14</v>
      </c>
      <c r="C7" s="22">
        <v>6</v>
      </c>
      <c r="D7" s="25">
        <v>94.63897</v>
      </c>
      <c r="E7" s="25">
        <f t="shared" si="0"/>
        <v>83.436434772247338</v>
      </c>
      <c r="F7" s="25">
        <f t="shared" si="1"/>
        <v>11.202535227752662</v>
      </c>
      <c r="G7" s="25">
        <f t="shared" ref="G7" si="7">($F$3+$F$7+$F$11+$F$15+$F$19+$F$23+$F$27+$F$31+$F$35+$F$39+$F$43+$F$47+$F$47+$F$51)/13</f>
        <v>1.042849009629901</v>
      </c>
      <c r="H7" s="25">
        <f t="shared" ref="H7" si="8">G$3-AVERAGE(G$3:G$6)</f>
        <v>0.86064372931894662</v>
      </c>
      <c r="I7" s="25">
        <f t="shared" si="2"/>
        <v>-93.778326270681049</v>
      </c>
      <c r="J7" s="25">
        <f t="shared" si="3"/>
        <v>84.29707850156629</v>
      </c>
      <c r="K7" s="25">
        <f t="shared" si="4"/>
        <v>106.95471976537546</v>
      </c>
      <c r="L7" s="25">
        <f t="shared" si="3"/>
        <v>85.339927511196194</v>
      </c>
      <c r="N7" s="2" t="s">
        <v>8</v>
      </c>
      <c r="O7" s="3">
        <f>VAR(C:C)</f>
        <v>134956.019661222</v>
      </c>
    </row>
    <row r="8" spans="1:15" x14ac:dyDescent="0.25">
      <c r="A8" s="70"/>
      <c r="B8" s="22" t="s">
        <v>15</v>
      </c>
      <c r="C8" s="22">
        <v>7</v>
      </c>
      <c r="D8" s="25">
        <v>87.999200000000002</v>
      </c>
      <c r="E8" s="25">
        <f t="shared" si="0"/>
        <v>84.50579325912517</v>
      </c>
      <c r="F8" s="25">
        <f t="shared" si="1"/>
        <v>3.4934067408748319</v>
      </c>
      <c r="G8" s="25">
        <f t="shared" ref="G8" si="9">($F$4+$F$8+$F$12+$F$16+$F$20+$F$24+$F$28+$F$32+$F$36+$F$40+$F$44+$F$48+$F$52)/13</f>
        <v>-0.3215529966817347</v>
      </c>
      <c r="H8" s="25">
        <f t="shared" ref="H8" si="10">$G$4-AVERAGE($G$4:$G$7)</f>
        <v>-0.50375827699268905</v>
      </c>
      <c r="I8" s="25">
        <f t="shared" si="2"/>
        <v>-88.502958276992686</v>
      </c>
      <c r="J8" s="25">
        <f t="shared" si="3"/>
        <v>84.002034982132486</v>
      </c>
      <c r="K8" s="25">
        <f t="shared" si="4"/>
        <v>15.977328180063822</v>
      </c>
      <c r="L8" s="25">
        <f t="shared" si="3"/>
        <v>83.680481985450754</v>
      </c>
      <c r="N8" s="2" t="s">
        <v>9</v>
      </c>
      <c r="O8" s="3">
        <f>SLOPE(D:D,C:C)</f>
        <v>1.0693584868778281</v>
      </c>
    </row>
    <row r="9" spans="1:15" ht="15.75" thickBot="1" x14ac:dyDescent="0.3">
      <c r="A9" s="70"/>
      <c r="B9" s="22" t="s">
        <v>16</v>
      </c>
      <c r="C9" s="22">
        <v>8</v>
      </c>
      <c r="D9" s="25">
        <v>83.249309999999994</v>
      </c>
      <c r="E9" s="25">
        <f t="shared" si="0"/>
        <v>85.575151746003002</v>
      </c>
      <c r="F9" s="25">
        <f t="shared" si="1"/>
        <v>-2.3258417460030074</v>
      </c>
      <c r="G9" s="25">
        <f t="shared" ref="G9" si="11">($F$5+$F$9+$F$13+$F$17+$F$21+$F$25+$F$29+$F$33+$F$37+$F$41+$F$45+$F$49)/12</f>
        <v>-0.81265117647057272</v>
      </c>
      <c r="H9" s="25">
        <f t="shared" ref="H9" si="12">$G$5-AVERAGE($G$5:$G$8)</f>
        <v>-0.99485645678152701</v>
      </c>
      <c r="I9" s="25">
        <f t="shared" si="2"/>
        <v>-84.244166456781528</v>
      </c>
      <c r="J9" s="25">
        <f t="shared" si="3"/>
        <v>84.580295289221468</v>
      </c>
      <c r="K9" s="25">
        <f t="shared" si="4"/>
        <v>1.7715218401239696</v>
      </c>
      <c r="L9" s="25">
        <f t="shared" si="3"/>
        <v>83.767644112750901</v>
      </c>
      <c r="N9" s="4" t="s">
        <v>10</v>
      </c>
      <c r="O9" s="5">
        <f>INTERCEPT(D:D,C:C)</f>
        <v>77.020283850980377</v>
      </c>
    </row>
    <row r="10" spans="1:15" x14ac:dyDescent="0.25">
      <c r="A10" s="70">
        <v>2012</v>
      </c>
      <c r="B10" s="22" t="s">
        <v>13</v>
      </c>
      <c r="C10" s="22">
        <v>9</v>
      </c>
      <c r="D10" s="25">
        <v>86.771870000000007</v>
      </c>
      <c r="E10" s="25">
        <f t="shared" si="0"/>
        <v>86.644510232880833</v>
      </c>
      <c r="F10" s="25">
        <f t="shared" si="1"/>
        <v>0.12735976711917374</v>
      </c>
      <c r="G10" s="25">
        <f t="shared" ref="G10" si="13">($F$2+$F$6+$F$10+$F$14+$F$18+$F$22+$F$26+$F$30+$F$34+$F$38+$F$42+$F$46+$F$50)/13</f>
        <v>0.82017628476622384</v>
      </c>
      <c r="H10" s="25">
        <f t="shared" ref="H10" si="14">G$2-AVERAGE(G$2:G$5)</f>
        <v>0.63797100445526955</v>
      </c>
      <c r="I10" s="25">
        <f t="shared" si="2"/>
        <v>-86.13389899554474</v>
      </c>
      <c r="J10" s="25">
        <f t="shared" si="3"/>
        <v>87.2824812373361</v>
      </c>
      <c r="K10" s="25">
        <f t="shared" si="4"/>
        <v>0.26072383569389584</v>
      </c>
      <c r="L10" s="25">
        <f t="shared" si="3"/>
        <v>88.102657522102319</v>
      </c>
    </row>
    <row r="11" spans="1:15" x14ac:dyDescent="0.25">
      <c r="A11" s="70"/>
      <c r="B11" s="22" t="s">
        <v>14</v>
      </c>
      <c r="C11" s="22">
        <v>10</v>
      </c>
      <c r="D11" s="25">
        <v>81.962109999999996</v>
      </c>
      <c r="E11" s="25">
        <f t="shared" si="0"/>
        <v>87.713868719758665</v>
      </c>
      <c r="F11" s="25">
        <f t="shared" si="1"/>
        <v>-5.7517587197586693</v>
      </c>
      <c r="G11" s="25">
        <f t="shared" ref="G11" si="15">($F$3+$F$7+$F$11+$F$15+$F$19+$F$23+$F$27+$F$31+$F$35+$F$39+$F$43+$F$47+$F$47+$F$51)/13</f>
        <v>1.042849009629901</v>
      </c>
      <c r="H11" s="25">
        <f t="shared" ref="H11" si="16">G$3-AVERAGE(G$3:G$6)</f>
        <v>0.86064372931894662</v>
      </c>
      <c r="I11" s="25">
        <f t="shared" si="2"/>
        <v>-81.101466270681044</v>
      </c>
      <c r="J11" s="25">
        <f t="shared" si="3"/>
        <v>88.574512449077616</v>
      </c>
      <c r="K11" s="25">
        <f t="shared" si="4"/>
        <v>43.723866148567716</v>
      </c>
      <c r="L11" s="25">
        <f t="shared" si="3"/>
        <v>89.617361458707521</v>
      </c>
    </row>
    <row r="12" spans="1:15" x14ac:dyDescent="0.25">
      <c r="A12" s="70"/>
      <c r="B12" s="22" t="s">
        <v>15</v>
      </c>
      <c r="C12" s="22">
        <v>11</v>
      </c>
      <c r="D12" s="25">
        <v>83.231830000000002</v>
      </c>
      <c r="E12" s="25">
        <f t="shared" si="0"/>
        <v>88.783227206636482</v>
      </c>
      <c r="F12" s="25">
        <f t="shared" si="1"/>
        <v>-5.5513972066364801</v>
      </c>
      <c r="G12" s="25">
        <f t="shared" ref="G12" si="17">($F$4+$F$8+$F$12+$F$16+$F$20+$F$24+$F$28+$F$32+$F$36+$F$40+$F$44+$F$48+$F$52)/13</f>
        <v>-0.3215529966817347</v>
      </c>
      <c r="H12" s="25">
        <f t="shared" ref="H12" si="18">$G$4-AVERAGE($G$4:$G$7)</f>
        <v>-0.50375827699268905</v>
      </c>
      <c r="I12" s="25">
        <f t="shared" si="2"/>
        <v>-83.735588276992686</v>
      </c>
      <c r="J12" s="25">
        <f t="shared" si="3"/>
        <v>88.279468929643798</v>
      </c>
      <c r="K12" s="25">
        <f t="shared" si="4"/>
        <v>25.478658764055563</v>
      </c>
      <c r="L12" s="25">
        <f t="shared" si="3"/>
        <v>87.957915932962067</v>
      </c>
    </row>
    <row r="13" spans="1:15" x14ac:dyDescent="0.25">
      <c r="A13" s="70"/>
      <c r="B13" s="22" t="s">
        <v>16</v>
      </c>
      <c r="C13" s="22">
        <v>12</v>
      </c>
      <c r="D13" s="25">
        <v>85.552350000000004</v>
      </c>
      <c r="E13" s="25">
        <f t="shared" si="0"/>
        <v>89.852585693514314</v>
      </c>
      <c r="F13" s="25">
        <f t="shared" si="1"/>
        <v>-4.3002356935143098</v>
      </c>
      <c r="G13" s="25">
        <f t="shared" ref="G13" si="19">($F$5+$F$9+$F$13+$F$17+$F$21+$F$25+$F$29+$F$33+$F$37+$F$41+$F$45+$F$49)/12</f>
        <v>-0.81265117647057272</v>
      </c>
      <c r="H13" s="25">
        <f t="shared" ref="H13" si="20">$G$5-AVERAGE($G$5:$G$8)</f>
        <v>-0.99485645678152701</v>
      </c>
      <c r="I13" s="25">
        <f t="shared" si="2"/>
        <v>-86.547206456781538</v>
      </c>
      <c r="J13" s="25">
        <f t="shared" si="3"/>
        <v>88.85772923673278</v>
      </c>
      <c r="K13" s="25">
        <f t="shared" si="4"/>
        <v>10.925531898624149</v>
      </c>
      <c r="L13" s="25">
        <f t="shared" si="3"/>
        <v>88.045078060262213</v>
      </c>
    </row>
    <row r="14" spans="1:15" x14ac:dyDescent="0.25">
      <c r="A14" s="70">
        <v>2013</v>
      </c>
      <c r="B14" s="22" t="s">
        <v>13</v>
      </c>
      <c r="C14" s="22">
        <v>13</v>
      </c>
      <c r="D14" s="25">
        <v>88.729600000000005</v>
      </c>
      <c r="E14" s="25">
        <f t="shared" si="0"/>
        <v>90.921944180392146</v>
      </c>
      <c r="F14" s="25">
        <f t="shared" si="1"/>
        <v>-2.1923441803921406</v>
      </c>
      <c r="G14" s="25">
        <f t="shared" ref="G14" si="21">($F$2+$F$6+$F$10+$F$14+$F$18+$F$22+$F$26+$F$30+$F$34+$F$38+$F$42+$F$46+$F$50)/13</f>
        <v>0.82017628476622384</v>
      </c>
      <c r="H14" s="25">
        <f t="shared" ref="H14" si="22">G$2-AVERAGE(G$2:G$5)</f>
        <v>0.63797100445526955</v>
      </c>
      <c r="I14" s="25">
        <f t="shared" si="2"/>
        <v>-88.091628995544738</v>
      </c>
      <c r="J14" s="25">
        <f t="shared" si="3"/>
        <v>91.559915184847412</v>
      </c>
      <c r="K14" s="25">
        <f t="shared" si="4"/>
        <v>8.010684045577813</v>
      </c>
      <c r="L14" s="25">
        <f t="shared" si="3"/>
        <v>92.380091469613632</v>
      </c>
    </row>
    <row r="15" spans="1:15" x14ac:dyDescent="0.25">
      <c r="A15" s="70"/>
      <c r="B15" s="22" t="s">
        <v>14</v>
      </c>
      <c r="C15" s="22">
        <v>14</v>
      </c>
      <c r="D15" s="25">
        <v>86.26052</v>
      </c>
      <c r="E15" s="25">
        <f t="shared" si="0"/>
        <v>91.991302667269963</v>
      </c>
      <c r="F15" s="25">
        <f t="shared" si="1"/>
        <v>-5.7307826672699633</v>
      </c>
      <c r="G15" s="25">
        <f t="shared" ref="G15" si="23">($F$3+$F$7+$F$11+$F$15+$F$19+$F$23+$F$27+$F$31+$F$35+$F$39+$F$43+$F$47+$F$47+$F$51)/13</f>
        <v>1.042849009629901</v>
      </c>
      <c r="H15" s="25">
        <f t="shared" ref="H15" si="24">G$3-AVERAGE(G$3:G$6)</f>
        <v>0.86064372931894662</v>
      </c>
      <c r="I15" s="25">
        <f t="shared" si="2"/>
        <v>-85.399876270681048</v>
      </c>
      <c r="J15" s="25">
        <f t="shared" si="3"/>
        <v>92.851946396588914</v>
      </c>
      <c r="K15" s="25">
        <f t="shared" si="4"/>
        <v>43.446901941649124</v>
      </c>
      <c r="L15" s="25">
        <f t="shared" si="3"/>
        <v>93.894795406218819</v>
      </c>
    </row>
    <row r="16" spans="1:15" x14ac:dyDescent="0.25">
      <c r="A16" s="70"/>
      <c r="B16" s="22" t="s">
        <v>15</v>
      </c>
      <c r="C16" s="22">
        <v>15</v>
      </c>
      <c r="D16" s="25">
        <v>88.097899999999996</v>
      </c>
      <c r="E16" s="25">
        <f t="shared" si="0"/>
        <v>93.060661154147795</v>
      </c>
      <c r="F16" s="25">
        <f t="shared" si="1"/>
        <v>-4.9627611541477989</v>
      </c>
      <c r="G16" s="25">
        <f t="shared" ref="G16" si="25">($F$4+$F$8+$F$12+$F$16+$F$20+$F$24+$F$28+$F$32+$F$36+$F$40+$F$44+$F$48+$F$52)/13</f>
        <v>-0.3215529966817347</v>
      </c>
      <c r="H16" s="25">
        <f t="shared" ref="H16" si="26">$G$4-AVERAGE($G$4:$G$7)</f>
        <v>-0.50375827699268905</v>
      </c>
      <c r="I16" s="25">
        <f t="shared" si="2"/>
        <v>-88.60165827699268</v>
      </c>
      <c r="J16" s="25">
        <f t="shared" si="3"/>
        <v>92.55690287715511</v>
      </c>
      <c r="K16" s="25">
        <f t="shared" si="4"/>
        <v>19.882706658477591</v>
      </c>
      <c r="L16" s="25">
        <f t="shared" si="3"/>
        <v>92.235349880473379</v>
      </c>
    </row>
    <row r="17" spans="1:12" x14ac:dyDescent="0.25">
      <c r="A17" s="70"/>
      <c r="B17" s="22" t="s">
        <v>16</v>
      </c>
      <c r="C17" s="22">
        <v>16</v>
      </c>
      <c r="D17" s="25">
        <v>92.525700000000001</v>
      </c>
      <c r="E17" s="25">
        <f t="shared" si="0"/>
        <v>94.130019641025626</v>
      </c>
      <c r="F17" s="25">
        <f t="shared" si="1"/>
        <v>-1.6043196410256257</v>
      </c>
      <c r="G17" s="25">
        <f t="shared" ref="G17" si="27">($F$5+$F$9+$F$13+$F$17+$F$21+$F$25+$F$29+$F$33+$F$37+$F$41+$F$45+$F$49)/12</f>
        <v>-0.81265117647057272</v>
      </c>
      <c r="H17" s="25">
        <f t="shared" ref="H17" si="28">$G$5-AVERAGE($G$5:$G$8)</f>
        <v>-0.99485645678152701</v>
      </c>
      <c r="I17" s="25">
        <f t="shared" si="2"/>
        <v>-93.520556456781534</v>
      </c>
      <c r="J17" s="25">
        <f t="shared" si="3"/>
        <v>93.135163184244092</v>
      </c>
      <c r="K17" s="25">
        <f t="shared" si="4"/>
        <v>0.37144537294894786</v>
      </c>
      <c r="L17" s="25">
        <f t="shared" si="3"/>
        <v>92.322512007773526</v>
      </c>
    </row>
    <row r="18" spans="1:12" x14ac:dyDescent="0.25">
      <c r="A18" s="70">
        <v>2014</v>
      </c>
      <c r="B18" s="22" t="s">
        <v>13</v>
      </c>
      <c r="C18" s="22">
        <v>17</v>
      </c>
      <c r="D18" s="25">
        <v>97.574209999999994</v>
      </c>
      <c r="E18" s="25">
        <f t="shared" si="0"/>
        <v>95.199378127903458</v>
      </c>
      <c r="F18" s="25">
        <f t="shared" si="1"/>
        <v>2.3748318720965358</v>
      </c>
      <c r="G18" s="25">
        <f t="shared" ref="G18" si="29">($F$2+$F$6+$F$10+$F$14+$F$18+$F$22+$F$26+$F$30+$F$34+$F$38+$F$42+$F$46+$F$50)/13</f>
        <v>0.82017628476622384</v>
      </c>
      <c r="H18" s="25">
        <f t="shared" ref="H18" si="30">G$2-AVERAGE(G$2:G$5)</f>
        <v>0.63797100445526955</v>
      </c>
      <c r="I18" s="25">
        <f t="shared" si="2"/>
        <v>-96.936238995544727</v>
      </c>
      <c r="J18" s="25">
        <f t="shared" si="3"/>
        <v>95.837349132358725</v>
      </c>
      <c r="K18" s="25">
        <f t="shared" si="4"/>
        <v>3.0166856735435821</v>
      </c>
      <c r="L18" s="25">
        <f t="shared" si="3"/>
        <v>96.657525417124944</v>
      </c>
    </row>
    <row r="19" spans="1:12" x14ac:dyDescent="0.25">
      <c r="A19" s="70"/>
      <c r="B19" s="22" t="s">
        <v>14</v>
      </c>
      <c r="C19" s="22">
        <v>18</v>
      </c>
      <c r="D19" s="25">
        <v>102.3635</v>
      </c>
      <c r="E19" s="25">
        <f t="shared" si="0"/>
        <v>96.26873661478129</v>
      </c>
      <c r="F19" s="25">
        <f t="shared" si="1"/>
        <v>6.0947633852187124</v>
      </c>
      <c r="G19" s="25">
        <f t="shared" ref="G19" si="31">($F$3+$F$7+$F$11+$F$15+$F$19+$F$23+$F$27+$F$31+$F$35+$F$39+$F$43+$F$47+$F$47+$F$51)/13</f>
        <v>1.042849009629901</v>
      </c>
      <c r="H19" s="25">
        <f t="shared" ref="H19" si="32">G$3-AVERAGE(G$3:G$6)</f>
        <v>0.86064372931894662</v>
      </c>
      <c r="I19" s="25">
        <f t="shared" si="2"/>
        <v>-101.50285627068105</v>
      </c>
      <c r="J19" s="25">
        <f t="shared" si="3"/>
        <v>97.129380344100241</v>
      </c>
      <c r="K19" s="25">
        <f t="shared" si="4"/>
        <v>27.39600857227623</v>
      </c>
      <c r="L19" s="25">
        <f t="shared" si="3"/>
        <v>98.172229353730145</v>
      </c>
    </row>
    <row r="20" spans="1:12" x14ac:dyDescent="0.25">
      <c r="A20" s="70"/>
      <c r="B20" s="22" t="s">
        <v>15</v>
      </c>
      <c r="C20" s="22">
        <v>19</v>
      </c>
      <c r="D20" s="25">
        <v>106.95699999999999</v>
      </c>
      <c r="E20" s="25">
        <f t="shared" si="0"/>
        <v>97.338095101659107</v>
      </c>
      <c r="F20" s="25">
        <f t="shared" si="1"/>
        <v>9.6189048983408867</v>
      </c>
      <c r="G20" s="25">
        <f t="shared" ref="G20" si="33">($F$4+$F$8+$F$12+$F$16+$F$20+$F$24+$F$28+$F$32+$F$36+$F$40+$F$44+$F$48+$F$52)/13</f>
        <v>-0.3215529966817347</v>
      </c>
      <c r="H20" s="25">
        <f t="shared" ref="H20" si="34">$G$4-AVERAGE($G$4:$G$7)</f>
        <v>-0.50375827699268905</v>
      </c>
      <c r="I20" s="25">
        <f t="shared" si="2"/>
        <v>-107.46075827699268</v>
      </c>
      <c r="J20" s="25">
        <f t="shared" si="3"/>
        <v>96.834336824666423</v>
      </c>
      <c r="K20" s="25">
        <f t="shared" si="4"/>
        <v>102.46830976125433</v>
      </c>
      <c r="L20" s="25">
        <f t="shared" si="3"/>
        <v>96.512783827984691</v>
      </c>
    </row>
    <row r="21" spans="1:12" x14ac:dyDescent="0.25">
      <c r="A21" s="70"/>
      <c r="B21" s="22" t="s">
        <v>16</v>
      </c>
      <c r="C21" s="22">
        <v>20</v>
      </c>
      <c r="D21" s="25">
        <v>101.4247</v>
      </c>
      <c r="E21" s="25">
        <f t="shared" si="0"/>
        <v>98.407453588536939</v>
      </c>
      <c r="F21" s="25">
        <f t="shared" si="1"/>
        <v>3.0172464114630628</v>
      </c>
      <c r="G21" s="25">
        <f t="shared" ref="G21" si="35">($F$5+$F$9+$F$13+$F$17+$F$21+$F$25+$F$29+$F$33+$F$37+$F$41+$F$45+$F$49)/12</f>
        <v>-0.81265117647057272</v>
      </c>
      <c r="H21" s="25">
        <f t="shared" ref="H21" si="36">$G$5-AVERAGE($G$5:$G$8)</f>
        <v>-0.99485645678152701</v>
      </c>
      <c r="I21" s="25">
        <f t="shared" si="2"/>
        <v>-102.41955645678154</v>
      </c>
      <c r="J21" s="25">
        <f t="shared" si="3"/>
        <v>97.412597131755405</v>
      </c>
      <c r="K21" s="25">
        <f t="shared" si="4"/>
        <v>16.096969425376521</v>
      </c>
      <c r="L21" s="25">
        <f t="shared" si="3"/>
        <v>96.599945955284838</v>
      </c>
    </row>
    <row r="22" spans="1:12" x14ac:dyDescent="0.25">
      <c r="A22" s="70">
        <v>2015</v>
      </c>
      <c r="B22" s="22" t="s">
        <v>13</v>
      </c>
      <c r="C22" s="22">
        <v>21</v>
      </c>
      <c r="D22" s="25">
        <v>103.56480000000001</v>
      </c>
      <c r="E22" s="25">
        <f t="shared" si="0"/>
        <v>99.47681207541477</v>
      </c>
      <c r="F22" s="25">
        <f t="shared" si="1"/>
        <v>4.0879879245852351</v>
      </c>
      <c r="G22" s="25">
        <f t="shared" ref="G22" si="37">($F$2+$F$6+$F$10+$F$14+$F$18+$F$22+$F$26+$F$30+$F$34+$F$38+$F$42+$F$46+$F$50)/13</f>
        <v>0.82017628476622384</v>
      </c>
      <c r="H22" s="25">
        <f t="shared" ref="H22" si="38">G$2-AVERAGE(G$2:G$5)</f>
        <v>0.63797100445526955</v>
      </c>
      <c r="I22" s="25">
        <f t="shared" si="2"/>
        <v>-102.92682899554474</v>
      </c>
      <c r="J22" s="25">
        <f t="shared" si="3"/>
        <v>100.11478307987004</v>
      </c>
      <c r="K22" s="25">
        <f t="shared" si="4"/>
        <v>11.902616749183073</v>
      </c>
      <c r="L22" s="25">
        <f t="shared" si="3"/>
        <v>100.93495936463626</v>
      </c>
    </row>
    <row r="23" spans="1:12" x14ac:dyDescent="0.25">
      <c r="A23" s="70"/>
      <c r="B23" s="22" t="s">
        <v>14</v>
      </c>
      <c r="C23" s="22">
        <v>22</v>
      </c>
      <c r="D23" s="25">
        <v>105.18819999999999</v>
      </c>
      <c r="E23" s="25">
        <f t="shared" si="0"/>
        <v>100.54617056229259</v>
      </c>
      <c r="F23" s="25">
        <f t="shared" si="1"/>
        <v>4.6420294377074072</v>
      </c>
      <c r="G23" s="25">
        <f t="shared" ref="G23" si="39">($F$3+$F$7+$F$11+$F$15+$F$19+$F$23+$F$27+$F$31+$F$35+$F$39+$F$43+$F$47+$F$47+$F$51)/13</f>
        <v>1.042849009629901</v>
      </c>
      <c r="H23" s="25">
        <f t="shared" ref="H23" si="40">G$3-AVERAGE(G$3:G$6)</f>
        <v>0.86064372931894662</v>
      </c>
      <c r="I23" s="25">
        <f t="shared" si="2"/>
        <v>-104.32755627068104</v>
      </c>
      <c r="J23" s="25">
        <f t="shared" si="3"/>
        <v>101.40681429161154</v>
      </c>
      <c r="K23" s="25">
        <f t="shared" si="4"/>
        <v>14.298877875604463</v>
      </c>
      <c r="L23" s="25">
        <f t="shared" si="3"/>
        <v>102.44966330124144</v>
      </c>
    </row>
    <row r="24" spans="1:12" x14ac:dyDescent="0.25">
      <c r="A24" s="70"/>
      <c r="B24" s="22" t="s">
        <v>15</v>
      </c>
      <c r="C24" s="22">
        <v>23</v>
      </c>
      <c r="D24" s="25">
        <v>97.522139999999993</v>
      </c>
      <c r="E24" s="25">
        <f t="shared" si="0"/>
        <v>101.61552904917042</v>
      </c>
      <c r="F24" s="25">
        <f t="shared" si="1"/>
        <v>-4.0933890491704261</v>
      </c>
      <c r="G24" s="25">
        <f t="shared" ref="G24" si="41">($F$4+$F$8+$F$12+$F$16+$F$20+$F$24+$F$28+$F$32+$F$36+$F$40+$F$44+$F$48+$F$52)/13</f>
        <v>-0.3215529966817347</v>
      </c>
      <c r="H24" s="25">
        <f t="shared" ref="H24" si="42">$G$4-AVERAGE($G$4:$G$7)</f>
        <v>-0.50375827699268905</v>
      </c>
      <c r="I24" s="25">
        <f t="shared" si="2"/>
        <v>-98.025898276992677</v>
      </c>
      <c r="J24" s="25">
        <f t="shared" si="3"/>
        <v>101.11177077217774</v>
      </c>
      <c r="K24" s="25">
        <f t="shared" si="4"/>
        <v>12.885449080565371</v>
      </c>
      <c r="L24" s="25">
        <f t="shared" si="3"/>
        <v>100.790217775496</v>
      </c>
    </row>
    <row r="25" spans="1:12" x14ac:dyDescent="0.25">
      <c r="A25" s="70"/>
      <c r="B25" s="22" t="s">
        <v>16</v>
      </c>
      <c r="C25" s="22">
        <v>24</v>
      </c>
      <c r="D25" s="25">
        <v>93.724810000000005</v>
      </c>
      <c r="E25" s="25">
        <f t="shared" si="0"/>
        <v>102.68488753604825</v>
      </c>
      <c r="F25" s="25">
        <f t="shared" si="1"/>
        <v>-8.9600775360482459</v>
      </c>
      <c r="G25" s="25">
        <f t="shared" ref="G25" si="43">($F$5+$F$9+$F$13+$F$17+$F$21+$F$25+$F$29+$F$33+$F$37+$F$41+$F$45+$F$49)/12</f>
        <v>-0.81265117647057272</v>
      </c>
      <c r="H25" s="25">
        <f t="shared" ref="H25" si="44">$G$5-AVERAGE($G$5:$G$8)</f>
        <v>-0.99485645678152701</v>
      </c>
      <c r="I25" s="25">
        <f t="shared" si="2"/>
        <v>-94.719666456781539</v>
      </c>
      <c r="J25" s="25">
        <f t="shared" si="3"/>
        <v>101.69003107926672</v>
      </c>
      <c r="K25" s="25">
        <f t="shared" si="4"/>
        <v>63.444746841594764</v>
      </c>
      <c r="L25" s="25">
        <f t="shared" si="3"/>
        <v>100.87737990279615</v>
      </c>
    </row>
    <row r="26" spans="1:12" x14ac:dyDescent="0.25">
      <c r="A26" s="70">
        <v>2016</v>
      </c>
      <c r="B26" s="22" t="s">
        <v>13</v>
      </c>
      <c r="C26" s="22">
        <v>25</v>
      </c>
      <c r="D26" s="25">
        <v>89.251159999999999</v>
      </c>
      <c r="E26" s="25">
        <f t="shared" si="0"/>
        <v>103.75424602292608</v>
      </c>
      <c r="F26" s="25">
        <f t="shared" si="1"/>
        <v>-14.503086022926084</v>
      </c>
      <c r="G26" s="25">
        <f t="shared" ref="G26" si="45">($F$2+$F$6+$F$10+$F$14+$F$18+$F$22+$F$26+$F$30+$F$34+$F$38+$F$42+$F$46+$F$50)/13</f>
        <v>0.82017628476622384</v>
      </c>
      <c r="H26" s="25">
        <f t="shared" ref="H26" si="46">G$2-AVERAGE(G$2:G$5)</f>
        <v>0.63797100445526955</v>
      </c>
      <c r="I26" s="25">
        <f t="shared" si="2"/>
        <v>-88.613188995544732</v>
      </c>
      <c r="J26" s="25">
        <f t="shared" si="3"/>
        <v>104.39221702738135</v>
      </c>
      <c r="K26" s="25">
        <f t="shared" si="4"/>
        <v>229.25160790641416</v>
      </c>
      <c r="L26" s="25">
        <f t="shared" si="3"/>
        <v>105.21239331214757</v>
      </c>
    </row>
    <row r="27" spans="1:12" x14ac:dyDescent="0.25">
      <c r="A27" s="70"/>
      <c r="B27" s="22" t="s">
        <v>14</v>
      </c>
      <c r="C27" s="22">
        <v>26</v>
      </c>
      <c r="D27" s="25">
        <v>96.583860000000001</v>
      </c>
      <c r="E27" s="25">
        <f t="shared" si="0"/>
        <v>104.82360450980391</v>
      </c>
      <c r="F27" s="25">
        <f t="shared" si="1"/>
        <v>-8.2397445098039128</v>
      </c>
      <c r="G27" s="25">
        <f t="shared" ref="G27" si="47">($F$3+$F$7+$F$11+$F$15+$F$19+$F$23+$F$27+$F$31+$F$35+$F$39+$F$43+$F$47+$F$47+$F$51)/13</f>
        <v>1.042849009629901</v>
      </c>
      <c r="H27" s="25">
        <f t="shared" ref="H27" si="48">G$3-AVERAGE(G$3:G$6)</f>
        <v>0.86064372931894662</v>
      </c>
      <c r="I27" s="25">
        <f t="shared" si="2"/>
        <v>-95.72321627068105</v>
      </c>
      <c r="J27" s="25">
        <f t="shared" si="3"/>
        <v>105.68424823912287</v>
      </c>
      <c r="K27" s="25">
        <f t="shared" si="4"/>
        <v>82.81706610276575</v>
      </c>
      <c r="L27" s="25">
        <f t="shared" si="3"/>
        <v>106.72709724875277</v>
      </c>
    </row>
    <row r="28" spans="1:12" x14ac:dyDescent="0.25">
      <c r="A28" s="70"/>
      <c r="B28" s="22" t="s">
        <v>15</v>
      </c>
      <c r="C28" s="22">
        <v>27</v>
      </c>
      <c r="D28" s="25">
        <v>101.6934</v>
      </c>
      <c r="E28" s="25">
        <f t="shared" si="0"/>
        <v>105.89296299668173</v>
      </c>
      <c r="F28" s="25">
        <f t="shared" si="1"/>
        <v>-4.1995629966817347</v>
      </c>
      <c r="G28" s="25">
        <f t="shared" ref="G28" si="49">($F$4+$F$8+$F$12+$F$16+$F$20+$F$24+$F$28+$F$32+$F$36+$F$40+$F$44+$F$48+$F$52)/13</f>
        <v>-0.3215529966817347</v>
      </c>
      <c r="H28" s="25">
        <f t="shared" ref="H28" si="50">$G$4-AVERAGE($G$4:$G$7)</f>
        <v>-0.50375827699268905</v>
      </c>
      <c r="I28" s="25">
        <f t="shared" si="2"/>
        <v>-102.19715827699268</v>
      </c>
      <c r="J28" s="25">
        <f t="shared" si="3"/>
        <v>105.38920471968905</v>
      </c>
      <c r="K28" s="25">
        <f t="shared" si="4"/>
        <v>13.658972526075861</v>
      </c>
      <c r="L28" s="25">
        <f t="shared" si="3"/>
        <v>105.06765172300732</v>
      </c>
    </row>
    <row r="29" spans="1:12" x14ac:dyDescent="0.25">
      <c r="A29" s="70"/>
      <c r="B29" s="22" t="s">
        <v>16</v>
      </c>
      <c r="C29" s="22">
        <v>28</v>
      </c>
      <c r="D29" s="25">
        <v>104.13030000000001</v>
      </c>
      <c r="E29" s="25">
        <f t="shared" si="0"/>
        <v>106.96232148355956</v>
      </c>
      <c r="F29" s="25">
        <f t="shared" si="1"/>
        <v>-2.8320214835595579</v>
      </c>
      <c r="G29" s="25">
        <f t="shared" ref="G29" si="51">($F$5+$F$9+$F$13+$F$17+$F$21+$F$25+$F$29+$F$33+$F$37+$F$41+$F$45+$F$49)/12</f>
        <v>-0.81265117647057272</v>
      </c>
      <c r="H29" s="25">
        <f t="shared" ref="H29" si="52">$G$5-AVERAGE($G$5:$G$8)</f>
        <v>-0.99485645678152701</v>
      </c>
      <c r="I29" s="25">
        <f t="shared" si="2"/>
        <v>-105.12515645678154</v>
      </c>
      <c r="J29" s="25">
        <f t="shared" si="3"/>
        <v>105.96746502677803</v>
      </c>
      <c r="K29" s="25">
        <f t="shared" si="4"/>
        <v>3.3751753356162975</v>
      </c>
      <c r="L29" s="25">
        <f t="shared" si="3"/>
        <v>105.15481385030746</v>
      </c>
    </row>
    <row r="30" spans="1:12" x14ac:dyDescent="0.25">
      <c r="A30" s="70">
        <v>2017</v>
      </c>
      <c r="B30" s="22" t="s">
        <v>13</v>
      </c>
      <c r="C30" s="22">
        <v>29</v>
      </c>
      <c r="D30" s="25">
        <v>108.4272</v>
      </c>
      <c r="E30" s="25">
        <f t="shared" si="0"/>
        <v>108.03167997043739</v>
      </c>
      <c r="F30" s="25">
        <f t="shared" si="1"/>
        <v>0.39552002956260424</v>
      </c>
      <c r="G30" s="25">
        <f t="shared" ref="G30" si="53">($F$2+$F$6+$F$10+$F$14+$F$18+$F$22+$F$26+$F$30+$F$34+$F$38+$F$42+$F$46+$F$50)/13</f>
        <v>0.82017628476622384</v>
      </c>
      <c r="H30" s="25">
        <f t="shared" ref="H30" si="54">G$2-AVERAGE(G$2:G$5)</f>
        <v>0.63797100445526955</v>
      </c>
      <c r="I30" s="25">
        <f t="shared" si="2"/>
        <v>-107.78922899554473</v>
      </c>
      <c r="J30" s="25">
        <f t="shared" si="3"/>
        <v>108.66965097489266</v>
      </c>
      <c r="K30" s="25">
        <f t="shared" si="4"/>
        <v>5.8782475226402425E-2</v>
      </c>
      <c r="L30" s="25">
        <f t="shared" si="3"/>
        <v>109.48982725965888</v>
      </c>
    </row>
    <row r="31" spans="1:12" x14ac:dyDescent="0.25">
      <c r="A31" s="70"/>
      <c r="B31" s="22" t="s">
        <v>14</v>
      </c>
      <c r="C31" s="22">
        <v>30</v>
      </c>
      <c r="D31" s="25">
        <v>107.9365</v>
      </c>
      <c r="E31" s="25">
        <f t="shared" si="0"/>
        <v>109.10103845731521</v>
      </c>
      <c r="F31" s="25">
        <f t="shared" si="1"/>
        <v>-1.1645384573152171</v>
      </c>
      <c r="G31" s="25">
        <f t="shared" ref="G31" si="55">($F$3+$F$7+$F$11+$F$15+$F$19+$F$23+$F$27+$F$31+$F$35+$F$39+$F$43+$F$47+$F$47+$F$51)/13</f>
        <v>1.042849009629901</v>
      </c>
      <c r="H31" s="25">
        <f t="shared" ref="H31" si="56">G$3-AVERAGE(G$3:G$6)</f>
        <v>0.86064372931894662</v>
      </c>
      <c r="I31" s="25">
        <f t="shared" si="2"/>
        <v>-107.07585627068104</v>
      </c>
      <c r="J31" s="25">
        <f t="shared" si="3"/>
        <v>109.96168218663416</v>
      </c>
      <c r="K31" s="25">
        <f t="shared" si="4"/>
        <v>4.1013628890603524</v>
      </c>
      <c r="L31" s="25">
        <f t="shared" si="3"/>
        <v>111.00453119626407</v>
      </c>
    </row>
    <row r="32" spans="1:12" x14ac:dyDescent="0.25">
      <c r="A32" s="70"/>
      <c r="B32" s="22" t="s">
        <v>15</v>
      </c>
      <c r="C32" s="22">
        <v>31</v>
      </c>
      <c r="D32" s="25">
        <v>105.88849999999999</v>
      </c>
      <c r="E32" s="25">
        <f t="shared" si="0"/>
        <v>110.17039694419304</v>
      </c>
      <c r="F32" s="25">
        <f t="shared" si="1"/>
        <v>-4.2818969441930506</v>
      </c>
      <c r="G32" s="25">
        <f t="shared" ref="G32" si="57">($F$4+$F$8+$F$12+$F$16+$F$20+$F$24+$F$28+$F$32+$F$36+$F$40+$F$44+$F$48+$F$52)/13</f>
        <v>-0.3215529966817347</v>
      </c>
      <c r="H32" s="25">
        <f t="shared" ref="H32" si="58">$G$4-AVERAGE($G$4:$G$7)</f>
        <v>-0.50375827699268905</v>
      </c>
      <c r="I32" s="25">
        <f t="shared" si="2"/>
        <v>-106.39225827699268</v>
      </c>
      <c r="J32" s="25">
        <f t="shared" si="3"/>
        <v>109.66663866720036</v>
      </c>
      <c r="K32" s="25">
        <f t="shared" si="4"/>
        <v>14.27433178859456</v>
      </c>
      <c r="L32" s="25">
        <f t="shared" si="3"/>
        <v>109.34508567051863</v>
      </c>
    </row>
    <row r="33" spans="1:12" x14ac:dyDescent="0.25">
      <c r="A33" s="70"/>
      <c r="B33" s="22" t="s">
        <v>16</v>
      </c>
      <c r="C33" s="22">
        <v>32</v>
      </c>
      <c r="D33" s="25">
        <v>111.4751</v>
      </c>
      <c r="E33" s="25">
        <f t="shared" si="0"/>
        <v>111.23975543107088</v>
      </c>
      <c r="F33" s="25">
        <f t="shared" si="1"/>
        <v>0.23534456892912203</v>
      </c>
      <c r="G33" s="25">
        <f t="shared" ref="G33" si="59">($F$5+$F$9+$F$13+$F$17+$F$21+$F$25+$F$29+$F$33+$F$37+$F$41+$F$45+$F$49)/12</f>
        <v>-0.81265117647057272</v>
      </c>
      <c r="H33" s="25">
        <f t="shared" ref="H33" si="60">$G$5-AVERAGE($G$5:$G$8)</f>
        <v>-0.99485645678152701</v>
      </c>
      <c r="I33" s="25">
        <f t="shared" si="2"/>
        <v>-112.46995645678153</v>
      </c>
      <c r="J33" s="25">
        <f t="shared" si="3"/>
        <v>110.24489897428934</v>
      </c>
      <c r="K33" s="25">
        <f t="shared" si="4"/>
        <v>1.5133945636595498</v>
      </c>
      <c r="L33" s="25">
        <f t="shared" si="3"/>
        <v>109.43224779781877</v>
      </c>
    </row>
    <row r="34" spans="1:12" x14ac:dyDescent="0.25">
      <c r="A34" s="70">
        <v>2018</v>
      </c>
      <c r="B34" s="22" t="s">
        <v>13</v>
      </c>
      <c r="C34" s="22">
        <v>33</v>
      </c>
      <c r="D34" s="25">
        <v>109.6913</v>
      </c>
      <c r="E34" s="25">
        <f t="shared" ref="E34:E57" si="61">$O$8*C34+$O$9</f>
        <v>112.30911391794871</v>
      </c>
      <c r="F34" s="25">
        <f t="shared" si="1"/>
        <v>-2.617813917948709</v>
      </c>
      <c r="G34" s="25">
        <f t="shared" ref="G34" si="62">($F$2+$F$6+$F$10+$F$14+$F$18+$F$22+$F$26+$F$30+$F$34+$F$38+$F$42+$F$46+$F$50)/13</f>
        <v>0.82017628476622384</v>
      </c>
      <c r="H34" s="25">
        <f t="shared" ref="H34" si="63">G$2-AVERAGE(G$2:G$5)</f>
        <v>0.63797100445526955</v>
      </c>
      <c r="I34" s="25">
        <f t="shared" si="2"/>
        <v>-109.05332899554473</v>
      </c>
      <c r="J34" s="25">
        <f t="shared" si="3"/>
        <v>112.94708492240397</v>
      </c>
      <c r="K34" s="25">
        <f t="shared" si="4"/>
        <v>10.600135460953062</v>
      </c>
      <c r="L34" s="25">
        <f t="shared" si="3"/>
        <v>113.76726120717019</v>
      </c>
    </row>
    <row r="35" spans="1:12" x14ac:dyDescent="0.25">
      <c r="A35" s="70"/>
      <c r="B35" s="22" t="s">
        <v>14</v>
      </c>
      <c r="C35" s="22">
        <v>34</v>
      </c>
      <c r="D35" s="25">
        <v>110.6687</v>
      </c>
      <c r="E35" s="25">
        <f t="shared" si="61"/>
        <v>113.37847240482654</v>
      </c>
      <c r="F35" s="25">
        <f t="shared" si="1"/>
        <v>-2.7097724048265377</v>
      </c>
      <c r="G35" s="25">
        <f t="shared" ref="G35" si="64">($F$3+$F$7+$F$11+$F$15+$F$19+$F$23+$F$27+$F$31+$F$35+$F$39+$F$43+$F$47+$F$47+$F$51)/13</f>
        <v>1.042849009629901</v>
      </c>
      <c r="H35" s="25">
        <f t="shared" ref="H35" si="65">G$3-AVERAGE(G$3:G$6)</f>
        <v>0.86064372931894662</v>
      </c>
      <c r="I35" s="25">
        <f t="shared" si="2"/>
        <v>-109.80805627068105</v>
      </c>
      <c r="J35" s="25">
        <f t="shared" si="3"/>
        <v>114.23911613414549</v>
      </c>
      <c r="K35" s="25">
        <f t="shared" si="4"/>
        <v>12.74787137096642</v>
      </c>
      <c r="L35" s="25">
        <f t="shared" si="3"/>
        <v>115.28196514377539</v>
      </c>
    </row>
    <row r="36" spans="1:12" x14ac:dyDescent="0.25">
      <c r="A36" s="70"/>
      <c r="B36" s="22" t="s">
        <v>15</v>
      </c>
      <c r="C36" s="22">
        <v>35</v>
      </c>
      <c r="D36" s="25">
        <v>113.6619</v>
      </c>
      <c r="E36" s="25">
        <f t="shared" si="61"/>
        <v>114.44783089170436</v>
      </c>
      <c r="F36" s="25">
        <f t="shared" si="1"/>
        <v>-0.78593089170435348</v>
      </c>
      <c r="G36" s="25">
        <f t="shared" ref="G36" si="66">($F$4+$F$8+$F$12+$F$16+$F$20+$F$24+$F$28+$F$32+$F$36+$F$40+$F$44+$F$48+$F$52)/13</f>
        <v>-0.3215529966817347</v>
      </c>
      <c r="H36" s="25">
        <f t="shared" ref="H36" si="67">$G$4-AVERAGE($G$4:$G$7)</f>
        <v>-0.50375827699268905</v>
      </c>
      <c r="I36" s="25">
        <f t="shared" si="2"/>
        <v>-114.16565827699269</v>
      </c>
      <c r="J36" s="25">
        <f t="shared" si="3"/>
        <v>113.94407261471167</v>
      </c>
      <c r="K36" s="25">
        <f t="shared" si="4"/>
        <v>7.9621384493220121E-2</v>
      </c>
      <c r="L36" s="25">
        <f t="shared" si="3"/>
        <v>113.62251961802994</v>
      </c>
    </row>
    <row r="37" spans="1:12" x14ac:dyDescent="0.25">
      <c r="A37" s="70"/>
      <c r="B37" s="22" t="s">
        <v>16</v>
      </c>
      <c r="C37" s="22">
        <v>36</v>
      </c>
      <c r="D37" s="25">
        <v>104.7972</v>
      </c>
      <c r="E37" s="25">
        <f t="shared" si="61"/>
        <v>115.51718937858219</v>
      </c>
      <c r="F37" s="25">
        <f t="shared" si="1"/>
        <v>-10.719989378582184</v>
      </c>
      <c r="G37" s="25">
        <f t="shared" ref="G37" si="68">($F$5+$F$9+$F$13+$F$17+$F$21+$F$25+$F$29+$F$33+$F$37+$F$41+$F$45+$F$49)/12</f>
        <v>-0.81265117647057272</v>
      </c>
      <c r="H37" s="25">
        <f t="shared" ref="H37" si="69">$G$5-AVERAGE($G$5:$G$8)</f>
        <v>-0.99485645678152701</v>
      </c>
      <c r="I37" s="25">
        <f t="shared" si="2"/>
        <v>-105.79205645678154</v>
      </c>
      <c r="J37" s="25">
        <f t="shared" si="3"/>
        <v>114.52233292180065</v>
      </c>
      <c r="K37" s="25">
        <f t="shared" si="4"/>
        <v>94.578210346690852</v>
      </c>
      <c r="L37" s="25">
        <f t="shared" si="3"/>
        <v>113.70968174533009</v>
      </c>
    </row>
    <row r="38" spans="1:12" x14ac:dyDescent="0.25">
      <c r="A38" s="70">
        <v>2019</v>
      </c>
      <c r="B38" s="22" t="s">
        <v>13</v>
      </c>
      <c r="C38" s="22">
        <v>37</v>
      </c>
      <c r="D38" s="25">
        <v>109.1031</v>
      </c>
      <c r="E38" s="25">
        <f t="shared" si="61"/>
        <v>116.58654786546002</v>
      </c>
      <c r="F38" s="25">
        <f t="shared" si="1"/>
        <v>-7.4834478654600218</v>
      </c>
      <c r="G38" s="25">
        <f t="shared" ref="G38" si="70">($F$2+$F$6+$F$10+$F$14+$F$18+$F$22+$F$26+$F$30+$F$34+$F$38+$F$42+$F$46+$F$50)/13</f>
        <v>0.82017628476622384</v>
      </c>
      <c r="H38" s="25">
        <f t="shared" ref="H38" si="71">G$2-AVERAGE(G$2:G$5)</f>
        <v>0.63797100445526955</v>
      </c>
      <c r="I38" s="25">
        <f t="shared" si="2"/>
        <v>-108.46512899554473</v>
      </c>
      <c r="J38" s="25">
        <f t="shared" si="3"/>
        <v>117.22451886991529</v>
      </c>
      <c r="K38" s="25">
        <f t="shared" si="4"/>
        <v>65.957444460616117</v>
      </c>
      <c r="L38" s="25">
        <f t="shared" si="3"/>
        <v>118.04469515468151</v>
      </c>
    </row>
    <row r="39" spans="1:12" x14ac:dyDescent="0.25">
      <c r="A39" s="70"/>
      <c r="B39" s="22" t="s">
        <v>14</v>
      </c>
      <c r="C39" s="22">
        <v>38</v>
      </c>
      <c r="D39" s="25">
        <v>114.1865</v>
      </c>
      <c r="E39" s="25">
        <f t="shared" si="61"/>
        <v>117.65590635233784</v>
      </c>
      <c r="F39" s="25">
        <f t="shared" si="1"/>
        <v>-3.4694063523378418</v>
      </c>
      <c r="G39" s="25">
        <f t="shared" ref="G39" si="72">($F$3+$F$7+$F$11+$F$15+$F$19+$F$23+$F$27+$F$31+$F$35+$F$39+$F$43+$F$47+$F$47+$F$51)/13</f>
        <v>1.042849009629901</v>
      </c>
      <c r="H39" s="25">
        <f t="shared" ref="H39" si="73">G$3-AVERAGE(G$3:G$6)</f>
        <v>0.86064372931894662</v>
      </c>
      <c r="I39" s="25">
        <f t="shared" si="2"/>
        <v>-113.32585627068104</v>
      </c>
      <c r="J39" s="25">
        <f t="shared" si="3"/>
        <v>118.51655008165679</v>
      </c>
      <c r="K39" s="25">
        <f t="shared" si="4"/>
        <v>18.749333709656003</v>
      </c>
      <c r="L39" s="25">
        <f t="shared" si="3"/>
        <v>119.55939909128669</v>
      </c>
    </row>
    <row r="40" spans="1:12" x14ac:dyDescent="0.25">
      <c r="A40" s="70"/>
      <c r="B40" s="22" t="s">
        <v>15</v>
      </c>
      <c r="C40" s="22">
        <v>39</v>
      </c>
      <c r="D40" s="25">
        <v>114.89660000000001</v>
      </c>
      <c r="E40" s="25">
        <f t="shared" si="61"/>
        <v>118.72526483921567</v>
      </c>
      <c r="F40" s="25">
        <f t="shared" si="1"/>
        <v>-3.8286648392156621</v>
      </c>
      <c r="G40" s="25">
        <f t="shared" ref="G40" si="74">($F$4+$F$8+$F$12+$F$16+$F$20+$F$24+$F$28+$F$32+$F$36+$F$40+$F$44+$F$48+$F$52)/13</f>
        <v>-0.3215529966817347</v>
      </c>
      <c r="H40" s="25">
        <f t="shared" ref="H40" si="75">$G$4-AVERAGE($G$4:$G$7)</f>
        <v>-0.50375827699268905</v>
      </c>
      <c r="I40" s="25">
        <f t="shared" si="2"/>
        <v>-115.40035827699269</v>
      </c>
      <c r="J40" s="25">
        <f t="shared" si="3"/>
        <v>118.22150656222298</v>
      </c>
      <c r="K40" s="25">
        <f t="shared" si="4"/>
        <v>11.055003647513422</v>
      </c>
      <c r="L40" s="25">
        <f t="shared" si="3"/>
        <v>117.89995356554125</v>
      </c>
    </row>
    <row r="41" spans="1:12" x14ac:dyDescent="0.25">
      <c r="A41" s="70"/>
      <c r="B41" s="22" t="s">
        <v>16</v>
      </c>
      <c r="C41" s="22">
        <v>40</v>
      </c>
      <c r="D41" s="25">
        <v>117.0793</v>
      </c>
      <c r="E41" s="25">
        <f t="shared" si="61"/>
        <v>119.7946233260935</v>
      </c>
      <c r="F41" s="25">
        <f t="shared" si="1"/>
        <v>-2.7153233260934968</v>
      </c>
      <c r="G41" s="25">
        <f t="shared" ref="G41" si="76">($F$5+$F$9+$F$13+$F$17+$F$21+$F$25+$F$29+$F$33+$F$37+$F$41+$F$45+$F$49)/12</f>
        <v>-0.81265117647057272</v>
      </c>
      <c r="H41" s="25">
        <f t="shared" ref="H41" si="77">$G$5-AVERAGE($G$5:$G$8)</f>
        <v>-0.99485645678152701</v>
      </c>
      <c r="I41" s="25">
        <f t="shared" si="2"/>
        <v>-118.07415645678154</v>
      </c>
      <c r="J41" s="25">
        <f t="shared" si="3"/>
        <v>118.79976686931197</v>
      </c>
      <c r="K41" s="25">
        <f t="shared" si="4"/>
        <v>2.9600062484001071</v>
      </c>
      <c r="L41" s="25">
        <f t="shared" si="3"/>
        <v>117.9871156928414</v>
      </c>
    </row>
    <row r="42" spans="1:12" x14ac:dyDescent="0.25">
      <c r="A42" s="70">
        <v>2020</v>
      </c>
      <c r="B42" s="22" t="s">
        <v>13</v>
      </c>
      <c r="C42" s="22">
        <v>41</v>
      </c>
      <c r="D42" s="25">
        <v>113.1711</v>
      </c>
      <c r="E42" s="25">
        <f t="shared" si="61"/>
        <v>120.86398181297133</v>
      </c>
      <c r="F42" s="25">
        <f t="shared" si="1"/>
        <v>-7.6928818129713363</v>
      </c>
      <c r="G42" s="25">
        <f t="shared" ref="G42" si="78">($F$2+$F$6+$F$10+$F$14+$F$18+$F$22+$F$26+$F$30+$F$34+$F$38+$F$42+$F$46+$F$50)/13</f>
        <v>0.82017628476622384</v>
      </c>
      <c r="H42" s="25">
        <f t="shared" ref="H42" si="79">G$2-AVERAGE(G$2:G$5)</f>
        <v>0.63797100445526955</v>
      </c>
      <c r="I42" s="25">
        <f t="shared" si="2"/>
        <v>-112.53312899554473</v>
      </c>
      <c r="J42" s="25">
        <f t="shared" si="3"/>
        <v>121.5019528174266</v>
      </c>
      <c r="K42" s="25">
        <f t="shared" si="4"/>
        <v>69.403108665624771</v>
      </c>
      <c r="L42" s="25">
        <f t="shared" si="3"/>
        <v>122.32212910219282</v>
      </c>
    </row>
    <row r="43" spans="1:12" x14ac:dyDescent="0.25">
      <c r="A43" s="70"/>
      <c r="B43" s="22" t="s">
        <v>14</v>
      </c>
      <c r="C43" s="22">
        <v>42</v>
      </c>
      <c r="D43" s="25">
        <v>103.3257</v>
      </c>
      <c r="E43" s="25">
        <f t="shared" si="61"/>
        <v>121.93334029984916</v>
      </c>
      <c r="F43" s="25">
        <f t="shared" si="1"/>
        <v>-18.607640299849166</v>
      </c>
      <c r="G43" s="25">
        <f t="shared" ref="G43" si="80">($F$3+$F$7+$F$11+$F$15+$F$19+$F$23+$F$27+$F$31+$F$35+$F$39+$F$43+$F$47+$F$47+$F$51)/13</f>
        <v>1.042849009629901</v>
      </c>
      <c r="H43" s="25">
        <f t="shared" ref="H43" si="81">G$3-AVERAGE(G$3:G$6)</f>
        <v>0.86064372931894662</v>
      </c>
      <c r="I43" s="25">
        <f t="shared" si="2"/>
        <v>-102.46505627068105</v>
      </c>
      <c r="J43" s="25">
        <f t="shared" si="3"/>
        <v>122.79398402916812</v>
      </c>
      <c r="K43" s="25">
        <f t="shared" si="4"/>
        <v>379.01408304036238</v>
      </c>
      <c r="L43" s="25">
        <f t="shared" si="3"/>
        <v>123.83683303879802</v>
      </c>
    </row>
    <row r="44" spans="1:12" x14ac:dyDescent="0.25">
      <c r="A44" s="70"/>
      <c r="B44" s="22" t="s">
        <v>15</v>
      </c>
      <c r="C44" s="22">
        <v>43</v>
      </c>
      <c r="D44" s="25">
        <v>113.2623</v>
      </c>
      <c r="E44" s="25">
        <f t="shared" si="61"/>
        <v>123.00269878672698</v>
      </c>
      <c r="F44" s="25">
        <f t="shared" si="1"/>
        <v>-9.7403987867269848</v>
      </c>
      <c r="G44" s="25">
        <f t="shared" ref="G44" si="82">($F$4+$F$8+$F$12+$F$16+$F$20+$F$24+$F$28+$F$32+$F$36+$F$40+$F$44+$F$48+$F$52)/13</f>
        <v>-0.3215529966817347</v>
      </c>
      <c r="H44" s="25">
        <f t="shared" ref="H44" si="83">$G$4-AVERAGE($G$4:$G$7)</f>
        <v>-0.50375827699268905</v>
      </c>
      <c r="I44" s="25">
        <f t="shared" si="2"/>
        <v>-113.76605827699268</v>
      </c>
      <c r="J44" s="25">
        <f t="shared" si="3"/>
        <v>122.4989405097343</v>
      </c>
      <c r="K44" s="25">
        <f t="shared" si="4"/>
        <v>85.315527906064716</v>
      </c>
      <c r="L44" s="25">
        <f t="shared" si="3"/>
        <v>122.17738751305257</v>
      </c>
    </row>
    <row r="45" spans="1:12" x14ac:dyDescent="0.25">
      <c r="A45" s="70"/>
      <c r="B45" s="22" t="s">
        <v>16</v>
      </c>
      <c r="C45" s="22">
        <v>44</v>
      </c>
      <c r="D45" s="25">
        <v>117.4307</v>
      </c>
      <c r="E45" s="25">
        <f t="shared" si="61"/>
        <v>124.07205727360481</v>
      </c>
      <c r="F45" s="25">
        <f t="shared" si="1"/>
        <v>-6.641357273604811</v>
      </c>
      <c r="G45" s="25">
        <f t="shared" ref="G45" si="84">($F$5+$F$9+$F$13+$F$17+$F$21+$F$25+$F$29+$F$33+$F$37+$F$41+$F$45+$F$49)/12</f>
        <v>-0.81265117647057272</v>
      </c>
      <c r="H45" s="25">
        <f t="shared" ref="H45" si="85">$G$5-AVERAGE($G$5:$G$8)</f>
        <v>-0.99485645678152701</v>
      </c>
      <c r="I45" s="25">
        <f t="shared" si="2"/>
        <v>-118.42555645678154</v>
      </c>
      <c r="J45" s="25">
        <f t="shared" si="3"/>
        <v>123.07720081682328</v>
      </c>
      <c r="K45" s="25">
        <f t="shared" si="4"/>
        <v>31.882971474385936</v>
      </c>
      <c r="L45" s="25">
        <f t="shared" si="3"/>
        <v>122.26454964035271</v>
      </c>
    </row>
    <row r="46" spans="1:12" x14ac:dyDescent="0.25">
      <c r="A46" s="70">
        <v>2021</v>
      </c>
      <c r="B46" s="22" t="s">
        <v>13</v>
      </c>
      <c r="C46" s="22">
        <v>45</v>
      </c>
      <c r="D46" s="25">
        <v>127.229</v>
      </c>
      <c r="E46" s="25">
        <f t="shared" si="61"/>
        <v>125.14141576048264</v>
      </c>
      <c r="F46" s="25">
        <f t="shared" si="1"/>
        <v>2.0875842395173549</v>
      </c>
      <c r="G46" s="25">
        <f t="shared" ref="G46" si="86">($F$2+$F$6+$F$10+$F$14+$F$18+$F$22+$F$26+$F$30+$F$34+$F$38+$F$42+$F$46+$F$50)/13</f>
        <v>0.82017628476622384</v>
      </c>
      <c r="H46" s="25">
        <f t="shared" ref="H46" si="87">G$2-AVERAGE(G$2:G$5)</f>
        <v>0.63797100445526955</v>
      </c>
      <c r="I46" s="25">
        <f t="shared" si="2"/>
        <v>-126.59102899554473</v>
      </c>
      <c r="J46" s="25">
        <f t="shared" si="3"/>
        <v>125.77938676493791</v>
      </c>
      <c r="K46" s="25">
        <f t="shared" si="4"/>
        <v>2.1013785312671733</v>
      </c>
      <c r="L46" s="25">
        <f t="shared" si="3"/>
        <v>126.59956304970413</v>
      </c>
    </row>
    <row r="47" spans="1:12" x14ac:dyDescent="0.25">
      <c r="A47" s="70"/>
      <c r="B47" s="22" t="s">
        <v>14</v>
      </c>
      <c r="C47" s="22">
        <v>46</v>
      </c>
      <c r="D47" s="25">
        <v>136.49809999999999</v>
      </c>
      <c r="E47" s="25">
        <f t="shared" si="61"/>
        <v>126.21077424736046</v>
      </c>
      <c r="F47" s="25">
        <f t="shared" si="1"/>
        <v>10.287325752639532</v>
      </c>
      <c r="G47" s="25">
        <f t="shared" ref="G47" si="88">($F$3+$F$7+$F$11+$F$15+$F$19+$F$23+$F$27+$F$31+$F$35+$F$39+$F$43+$F$47+$F$47+$F$51)/13</f>
        <v>1.042849009629901</v>
      </c>
      <c r="H47" s="25">
        <f t="shared" ref="H47" si="89">G$3-AVERAGE(G$3:G$6)</f>
        <v>0.86064372931894662</v>
      </c>
      <c r="I47" s="25">
        <f t="shared" si="2"/>
        <v>-135.63745627068104</v>
      </c>
      <c r="J47" s="25">
        <f t="shared" si="3"/>
        <v>127.07141797667941</v>
      </c>
      <c r="K47" s="25">
        <f t="shared" si="4"/>
        <v>88.862333968795397</v>
      </c>
      <c r="L47" s="25">
        <f t="shared" si="3"/>
        <v>128.1142669863093</v>
      </c>
    </row>
    <row r="48" spans="1:12" x14ac:dyDescent="0.25">
      <c r="A48" s="70"/>
      <c r="B48" s="22" t="s">
        <v>15</v>
      </c>
      <c r="C48" s="22">
        <v>47</v>
      </c>
      <c r="D48" s="25">
        <v>142.14060000000001</v>
      </c>
      <c r="E48" s="25">
        <f t="shared" si="61"/>
        <v>127.28013273423829</v>
      </c>
      <c r="F48" s="25">
        <f t="shared" si="1"/>
        <v>14.860467265761713</v>
      </c>
      <c r="G48" s="25">
        <f t="shared" ref="G48" si="90">($F$4+$F$8+$F$12+$F$16+$F$20+$F$24+$F$28+$F$32+$F$36+$F$40+$F$44+$F$48+$F$52)/13</f>
        <v>-0.3215529966817347</v>
      </c>
      <c r="H48" s="25">
        <f t="shared" ref="H48" si="91">$G$4-AVERAGE($G$4:$G$7)</f>
        <v>-0.50375827699268905</v>
      </c>
      <c r="I48" s="25">
        <f t="shared" si="2"/>
        <v>-142.6443582769927</v>
      </c>
      <c r="J48" s="25">
        <f t="shared" si="3"/>
        <v>126.77637445724561</v>
      </c>
      <c r="K48" s="25">
        <f t="shared" si="4"/>
        <v>236.05942652862666</v>
      </c>
      <c r="L48" s="25">
        <f t="shared" si="3"/>
        <v>126.45482146056388</v>
      </c>
    </row>
    <row r="49" spans="1:12" x14ac:dyDescent="0.25">
      <c r="A49" s="70"/>
      <c r="B49" s="22" t="s">
        <v>16</v>
      </c>
      <c r="C49" s="22">
        <v>48</v>
      </c>
      <c r="D49" s="25">
        <v>146.7877</v>
      </c>
      <c r="E49" s="25">
        <f t="shared" si="61"/>
        <v>128.34949122111612</v>
      </c>
      <c r="F49" s="25">
        <f t="shared" si="1"/>
        <v>18.438208778883876</v>
      </c>
      <c r="G49" s="25">
        <f t="shared" ref="G49" si="92">($F$5+$F$9+$F$13+$F$17+$F$21+$F$25+$F$29+$F$33+$F$37+$F$41+$F$45+$F$49)/12</f>
        <v>-0.81265117647057272</v>
      </c>
      <c r="H49" s="25">
        <f t="shared" ref="H49" si="93">$G$5-AVERAGE($G$5:$G$8)</f>
        <v>-0.99485645678152701</v>
      </c>
      <c r="I49" s="25">
        <f t="shared" si="2"/>
        <v>-147.78255645678152</v>
      </c>
      <c r="J49" s="25">
        <f t="shared" si="3"/>
        <v>127.35463476433459</v>
      </c>
      <c r="K49" s="25">
        <f t="shared" si="4"/>
        <v>377.64402445362754</v>
      </c>
      <c r="L49" s="25">
        <f t="shared" si="3"/>
        <v>126.54198358786402</v>
      </c>
    </row>
    <row r="50" spans="1:12" x14ac:dyDescent="0.25">
      <c r="A50" s="70">
        <v>2022</v>
      </c>
      <c r="B50" s="22" t="s">
        <v>13</v>
      </c>
      <c r="C50" s="22">
        <v>49</v>
      </c>
      <c r="D50" s="25">
        <v>148.52099999999999</v>
      </c>
      <c r="E50" s="25">
        <f t="shared" si="61"/>
        <v>129.41884970799396</v>
      </c>
      <c r="F50" s="25">
        <f t="shared" si="1"/>
        <v>19.10215029200603</v>
      </c>
      <c r="G50" s="25">
        <f t="shared" ref="G50" si="94">($F$2+$F$6+$F$10+$F$14+$F$18+$F$22+$F$26+$F$30+$F$34+$F$38+$F$42+$F$46+$F$50)/13</f>
        <v>0.82017628476622384</v>
      </c>
      <c r="H50" s="25">
        <f t="shared" ref="H50" si="95">G$2-AVERAGE(G$2:G$5)</f>
        <v>0.63797100445526955</v>
      </c>
      <c r="I50" s="25">
        <f t="shared" si="2"/>
        <v>-147.88302899554472</v>
      </c>
      <c r="J50" s="25">
        <f t="shared" si="3"/>
        <v>130.05682071244922</v>
      </c>
      <c r="K50" s="25">
        <f t="shared" si="4"/>
        <v>340.92591676281859</v>
      </c>
      <c r="L50" s="25">
        <f t="shared" si="3"/>
        <v>130.87699699721546</v>
      </c>
    </row>
    <row r="51" spans="1:12" x14ac:dyDescent="0.25">
      <c r="A51" s="70"/>
      <c r="B51" s="22" t="s">
        <v>14</v>
      </c>
      <c r="C51" s="22">
        <v>50</v>
      </c>
      <c r="D51" s="25">
        <v>143.51480000000001</v>
      </c>
      <c r="E51" s="25">
        <f t="shared" si="61"/>
        <v>130.48820819487179</v>
      </c>
      <c r="F51" s="25">
        <f t="shared" si="1"/>
        <v>13.02659180512822</v>
      </c>
      <c r="G51" s="25">
        <f t="shared" ref="G51" si="96">($F$3+$F$7+$F$11+$F$15+$F$19+$F$23+$F$27+$F$31+$F$35+$F$39+$F$43+$F$47+$F$47+$F$51)/13</f>
        <v>1.042849009629901</v>
      </c>
      <c r="H51" s="25">
        <f t="shared" ref="H51" si="97">G$3-AVERAGE(G$3:G$6)</f>
        <v>0.86064372931894662</v>
      </c>
      <c r="I51" s="25">
        <f t="shared" si="2"/>
        <v>-142.65415627068106</v>
      </c>
      <c r="J51" s="25">
        <f t="shared" si="3"/>
        <v>131.34885192419074</v>
      </c>
      <c r="K51" s="25">
        <f t="shared" si="4"/>
        <v>148.01029258328725</v>
      </c>
      <c r="L51" s="25">
        <f t="shared" si="3"/>
        <v>132.39170093382063</v>
      </c>
    </row>
    <row r="52" spans="1:12" x14ac:dyDescent="0.25">
      <c r="A52" s="70"/>
      <c r="B52" s="22" t="s">
        <v>15</v>
      </c>
      <c r="C52" s="22">
        <v>51</v>
      </c>
      <c r="D52" s="25">
        <v>134.69749999999999</v>
      </c>
      <c r="E52" s="25">
        <f t="shared" si="61"/>
        <v>131.55756668174962</v>
      </c>
      <c r="F52" s="25">
        <f t="shared" si="1"/>
        <v>3.139933318250371</v>
      </c>
      <c r="G52" s="25">
        <f t="shared" ref="G52" si="98">($F$4+$F$8+$F$12+$F$16+$F$20+$F$24+$F$28+$F$32+$F$36+$F$40+$F$44+$F$48+$F$52)/13</f>
        <v>-0.3215529966817347</v>
      </c>
      <c r="H52" s="25">
        <f t="shared" ref="H52" si="99">$G$4-AVERAGE($G$4:$G$7)</f>
        <v>-0.50375827699268905</v>
      </c>
      <c r="I52" s="25">
        <f t="shared" si="2"/>
        <v>-135.20125827699269</v>
      </c>
      <c r="J52" s="25">
        <f t="shared" si="3"/>
        <v>131.05380840475692</v>
      </c>
      <c r="K52" s="25">
        <f t="shared" si="4"/>
        <v>13.276488441244984</v>
      </c>
      <c r="L52" s="25">
        <f t="shared" si="3"/>
        <v>130.73225540807519</v>
      </c>
    </row>
    <row r="53" spans="1:12" x14ac:dyDescent="0.25">
      <c r="A53" s="70"/>
      <c r="B53" s="22" t="s">
        <v>16</v>
      </c>
      <c r="C53" s="22">
        <v>52</v>
      </c>
      <c r="D53" s="25"/>
      <c r="E53" s="25">
        <f t="shared" si="61"/>
        <v>132.62692516862745</v>
      </c>
      <c r="F53" s="25"/>
      <c r="G53" s="25">
        <f t="shared" ref="G53" si="100">($F$5+$F$9+$F$13+$F$17+$F$21+$F$25+$F$29+$F$33+$F$37+$F$41+$F$45+$F$49)/12</f>
        <v>-0.81265117647057272</v>
      </c>
      <c r="H53" s="25">
        <f t="shared" ref="H53" si="101">$G$5-AVERAGE($G$5:$G$8)</f>
        <v>-0.99485645678152701</v>
      </c>
      <c r="I53" s="25">
        <f t="shared" si="2"/>
        <v>-0.99485645678152701</v>
      </c>
      <c r="J53" s="25">
        <f t="shared" si="3"/>
        <v>131.63206871184593</v>
      </c>
      <c r="K53" s="25"/>
      <c r="L53" s="25">
        <f t="shared" si="3"/>
        <v>130.81941753537535</v>
      </c>
    </row>
    <row r="54" spans="1:12" x14ac:dyDescent="0.25">
      <c r="A54" s="73">
        <v>2023</v>
      </c>
      <c r="B54" s="22" t="s">
        <v>13</v>
      </c>
      <c r="C54" s="22">
        <v>53</v>
      </c>
      <c r="D54" s="25"/>
      <c r="E54" s="25">
        <f t="shared" si="61"/>
        <v>133.69628365550528</v>
      </c>
      <c r="F54" s="25"/>
      <c r="G54" s="25">
        <f t="shared" ref="G54" si="102">($F$2+$F$6+$F$10+$F$14+$F$18+$F$22+$F$26+$F$30+$F$34+$F$38+$F$42+$F$46+$F$50)/13</f>
        <v>0.82017628476622384</v>
      </c>
      <c r="H54" s="25">
        <f t="shared" ref="H54" si="103">G$2-AVERAGE(G$2:G$5)</f>
        <v>0.63797100445526955</v>
      </c>
      <c r="I54" s="25">
        <f t="shared" si="2"/>
        <v>0.63797100445526955</v>
      </c>
      <c r="J54" s="25">
        <f t="shared" si="3"/>
        <v>134.33425465996055</v>
      </c>
      <c r="K54" s="25"/>
      <c r="L54" s="25">
        <f t="shared" si="3"/>
        <v>135.15443094472678</v>
      </c>
    </row>
    <row r="55" spans="1:12" x14ac:dyDescent="0.25">
      <c r="A55" s="73"/>
      <c r="B55" s="22" t="s">
        <v>14</v>
      </c>
      <c r="C55" s="22">
        <v>54</v>
      </c>
      <c r="D55" s="25"/>
      <c r="E55" s="25">
        <f t="shared" si="61"/>
        <v>134.76564214238309</v>
      </c>
      <c r="F55" s="25"/>
      <c r="G55" s="25">
        <f t="shared" ref="G55" si="104">($F$3+$F$7+$F$11+$F$15+$F$19+$F$23+$F$27+$F$31+$F$35+$F$39+$F$43+$F$47+$F$47+$F$51)/13</f>
        <v>1.042849009629901</v>
      </c>
      <c r="H55" s="25">
        <f t="shared" ref="H55" si="105">G$3-AVERAGE(G$3:G$6)</f>
        <v>0.86064372931894662</v>
      </c>
      <c r="I55" s="25">
        <f t="shared" si="2"/>
        <v>0.86064372931894662</v>
      </c>
      <c r="J55" s="25">
        <f t="shared" si="3"/>
        <v>135.62628587170204</v>
      </c>
      <c r="K55" s="25"/>
      <c r="L55" s="25">
        <f t="shared" si="3"/>
        <v>136.66913488133193</v>
      </c>
    </row>
    <row r="56" spans="1:12" x14ac:dyDescent="0.25">
      <c r="A56" s="73"/>
      <c r="B56" s="22" t="s">
        <v>15</v>
      </c>
      <c r="C56" s="22">
        <v>55</v>
      </c>
      <c r="D56" s="25"/>
      <c r="E56" s="25">
        <f t="shared" si="61"/>
        <v>135.83500062926092</v>
      </c>
      <c r="F56" s="25"/>
      <c r="G56" s="25">
        <f t="shared" ref="G56" si="106">($F$4+$F$8+$F$12+$F$16+$F$20+$F$24+$F$28+$F$32+$F$36+$F$40+$F$44+$F$48+$F$52)/13</f>
        <v>-0.3215529966817347</v>
      </c>
      <c r="H56" s="25">
        <f t="shared" ref="H56" si="107">$G$4-AVERAGE($G$4:$G$7)</f>
        <v>-0.50375827699268905</v>
      </c>
      <c r="I56" s="25">
        <f t="shared" si="2"/>
        <v>-0.50375827699268905</v>
      </c>
      <c r="J56" s="25">
        <f t="shared" si="3"/>
        <v>135.33124235226822</v>
      </c>
      <c r="K56" s="25"/>
      <c r="L56" s="25">
        <f t="shared" si="3"/>
        <v>135.00968935558649</v>
      </c>
    </row>
    <row r="57" spans="1:12" x14ac:dyDescent="0.25">
      <c r="A57" s="73"/>
      <c r="B57" s="22" t="s">
        <v>16</v>
      </c>
      <c r="C57" s="22">
        <v>56</v>
      </c>
      <c r="D57" s="25"/>
      <c r="E57" s="25">
        <f t="shared" si="61"/>
        <v>136.90435911613875</v>
      </c>
      <c r="F57" s="25"/>
      <c r="G57" s="25">
        <f t="shared" ref="G57" si="108">($F$5+$F$9+$F$13+$F$17+$F$21+$F$25+$F$29+$F$33+$F$37+$F$41+$F$45+$F$49)/12</f>
        <v>-0.81265117647057272</v>
      </c>
      <c r="H57" s="25">
        <f t="shared" ref="H57" si="109">$G$5-AVERAGE($G$5:$G$8)</f>
        <v>-0.99485645678152701</v>
      </c>
      <c r="I57" s="25">
        <f t="shared" si="2"/>
        <v>-0.99485645678152701</v>
      </c>
      <c r="J57" s="25">
        <f t="shared" si="3"/>
        <v>135.90950265935723</v>
      </c>
      <c r="K57" s="25"/>
      <c r="L57" s="25">
        <f t="shared" si="3"/>
        <v>135.09685148288665</v>
      </c>
    </row>
    <row r="58" spans="1:12" x14ac:dyDescent="0.25">
      <c r="C58"/>
      <c r="D58" s="1"/>
    </row>
    <row r="59" spans="1:12" x14ac:dyDescent="0.25">
      <c r="C59"/>
      <c r="D59" s="1"/>
    </row>
    <row r="60" spans="1:12" x14ac:dyDescent="0.25">
      <c r="C60"/>
      <c r="D60" s="1"/>
    </row>
    <row r="61" spans="1:12" ht="19.5" thickBot="1" x14ac:dyDescent="0.35">
      <c r="C61" s="86" t="s">
        <v>43</v>
      </c>
      <c r="D61" s="86"/>
      <c r="E61" s="86"/>
    </row>
    <row r="62" spans="1:12" x14ac:dyDescent="0.25">
      <c r="C62" s="77">
        <v>2022</v>
      </c>
      <c r="D62" s="74" t="s">
        <v>13</v>
      </c>
      <c r="E62" s="75">
        <v>129.41884970799396</v>
      </c>
    </row>
    <row r="63" spans="1:12" x14ac:dyDescent="0.25">
      <c r="C63" s="78"/>
      <c r="D63" s="25" t="s">
        <v>14</v>
      </c>
      <c r="E63" s="76">
        <v>130.48820819487179</v>
      </c>
    </row>
    <row r="64" spans="1:12" x14ac:dyDescent="0.25">
      <c r="C64" s="78"/>
      <c r="D64" s="25" t="s">
        <v>15</v>
      </c>
      <c r="E64" s="76">
        <v>131.55756668174962</v>
      </c>
    </row>
    <row r="65" spans="3:5" x14ac:dyDescent="0.25">
      <c r="C65" s="79"/>
      <c r="D65" s="82" t="s">
        <v>16</v>
      </c>
      <c r="E65" s="83">
        <v>131.63206871184593</v>
      </c>
    </row>
    <row r="66" spans="3:5" x14ac:dyDescent="0.25">
      <c r="C66" s="80">
        <v>2023</v>
      </c>
      <c r="D66" s="82" t="s">
        <v>13</v>
      </c>
      <c r="E66" s="83">
        <v>134.33425465996055</v>
      </c>
    </row>
    <row r="67" spans="3:5" x14ac:dyDescent="0.25">
      <c r="C67" s="78"/>
      <c r="D67" s="82" t="s">
        <v>14</v>
      </c>
      <c r="E67" s="83">
        <v>135.62628587170204</v>
      </c>
    </row>
    <row r="68" spans="3:5" x14ac:dyDescent="0.25">
      <c r="C68" s="78"/>
      <c r="D68" s="82" t="s">
        <v>15</v>
      </c>
      <c r="E68" s="83">
        <v>135.33124235226822</v>
      </c>
    </row>
    <row r="69" spans="3:5" ht="15.75" thickBot="1" x14ac:dyDescent="0.3">
      <c r="C69" s="81"/>
      <c r="D69" s="84" t="s">
        <v>16</v>
      </c>
      <c r="E69" s="85">
        <v>135.90950265935723</v>
      </c>
    </row>
    <row r="70" spans="3:5" x14ac:dyDescent="0.25">
      <c r="C70"/>
      <c r="D70" s="1"/>
    </row>
    <row r="71" spans="3:5" x14ac:dyDescent="0.25">
      <c r="C71"/>
      <c r="D71" s="1"/>
    </row>
    <row r="72" spans="3:5" x14ac:dyDescent="0.25">
      <c r="C72"/>
      <c r="D72" s="1"/>
    </row>
    <row r="73" spans="3:5" x14ac:dyDescent="0.25">
      <c r="C73"/>
      <c r="D73" s="1"/>
    </row>
    <row r="74" spans="3:5" x14ac:dyDescent="0.25">
      <c r="C74"/>
      <c r="D74" s="1"/>
    </row>
    <row r="75" spans="3:5" x14ac:dyDescent="0.25">
      <c r="C75"/>
      <c r="D75" s="1"/>
    </row>
    <row r="76" spans="3:5" x14ac:dyDescent="0.25">
      <c r="C76"/>
      <c r="D76" s="1"/>
    </row>
    <row r="77" spans="3:5" x14ac:dyDescent="0.25">
      <c r="C77"/>
      <c r="D77" s="1"/>
    </row>
    <row r="78" spans="3:5" x14ac:dyDescent="0.25">
      <c r="C78"/>
      <c r="D78" s="1"/>
    </row>
    <row r="79" spans="3:5" x14ac:dyDescent="0.25">
      <c r="C79"/>
      <c r="D79" s="1"/>
    </row>
    <row r="80" spans="3:5" x14ac:dyDescent="0.25">
      <c r="C80"/>
      <c r="D80" s="1"/>
    </row>
    <row r="81" spans="3:4" x14ac:dyDescent="0.25">
      <c r="C81"/>
      <c r="D81" s="1"/>
    </row>
  </sheetData>
  <mergeCells count="17">
    <mergeCell ref="C62:C65"/>
    <mergeCell ref="C66:C69"/>
    <mergeCell ref="C61:E61"/>
    <mergeCell ref="A22:A25"/>
    <mergeCell ref="A2:A5"/>
    <mergeCell ref="A6:A9"/>
    <mergeCell ref="A10:A13"/>
    <mergeCell ref="A14:A17"/>
    <mergeCell ref="A18:A21"/>
    <mergeCell ref="A50:A53"/>
    <mergeCell ref="A54:A57"/>
    <mergeCell ref="A26:A29"/>
    <mergeCell ref="A30:A33"/>
    <mergeCell ref="A34:A37"/>
    <mergeCell ref="A38:A41"/>
    <mergeCell ref="A42:A45"/>
    <mergeCell ref="A46:A49"/>
  </mergeCells>
  <phoneticPr fontId="2" type="noConversion"/>
  <conditionalFormatting sqref="G2:G1048576">
    <cfRule type="cellIs" dxfId="7" priority="1" operator="equal">
      <formula>$G$5</formula>
    </cfRule>
    <cfRule type="cellIs" dxfId="6" priority="2" operator="equal">
      <formula>$G$4</formula>
    </cfRule>
    <cfRule type="cellIs" dxfId="5" priority="3" operator="equal">
      <formula>$G$3</formula>
    </cfRule>
    <cfRule type="cellIs" dxfId="4" priority="4" operator="equal">
      <formula>$G$2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10A0C-B6ED-48E9-B3B5-F8112CEE3DCB}">
  <dimension ref="A1"/>
  <sheetViews>
    <sheetView workbookViewId="0">
      <selection activeCell="D10" sqref="D1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Q E A A B Q S w M E F A A C A A g A R 1 d 9 V T A 3 x 5 m l A A A A 9 Q A A A B I A H A B D b 2 5 m a W c v U G F j a 2 F n Z S 5 4 b W w g o h g A K K A U A A A A A A A A A A A A A A A A A A A A A A A A A A A A h Y 8 x D o I w A E W v Q r r T l m o M k l I G E y d J j C b G t S k F G q G Y t l j u 5 u C R v I I Y R d 0 c / / t v + P 9 + v d F s a J v g I o 1 V n U 5 B B D E I p B Z d o X S V g t 6 V Y Q w y R r d c n H g l g 1 H W N h l s k Y L a u X O C k P c e + h n s T I U I x h E 6 5 p u 9 q G X L w U d W / + V Q a e u 4 F h I w e n i N Y Q Q u F z C e E 4 g p m h j N l f 7 2 Z J z 7 b H 8 g X f W N 6 4 1 k p Q n X O 4 q m S N H 7 A n s A U E s D B B Q A A g A I A E d X f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H V 3 1 V i 2 A 1 Y G 0 B A A B l A g A A E w A c A E Z v c m 1 1 b G F z L 1 N l Y 3 R p b 2 4 x L m 0 g o h g A K K A U A A A A A A A A A A A A A A A A A A A A A A A A A A A A d Z H f T s I w F M b v S X i H Z t 5 A U p d t E Y K S X e A 2 4 g x / l A 0 S A 4 b U 7 Y A z X U v a D i W E B 9 L X 8 M U s Y o J m 2 J v 2 f N / p 1 1 9 b C Y n K O E P R Y b b b 1 U q 1 I p + J g B T 5 d / N e O A n m z q V t O 5 b j 2 F a j 5 d j 2 Z Q u 5 i I K q V p A e E S 9 E A l r x 5 N r 0 e V L k w F S t m 1 E w P c 6 U L m T N 8 K 5 m Y w l C z i i F F y 4 t e + b z V 0 Y 5 S e X s 3 1 P M R K 6 N O p 7 6 Q L M 8 U y B c A x s Y e Z w W O Z N u C 6 O A J T z N 2 N J t N i z L x u i + 4 A o i t a H g H p f m g D N 4 r O M D 7 p k R s H P 1 + a F A o p X g e S E N z R 6 T J 9 1 4 p 2 u 9 6 w Z I q l l r h 5 t h N P 3 R O 5 R G C a F E S F e J 4 n d k v F k B y j X K I v t 8 P + b F g j C 5 4 C I / I O + 7 Z O 0 E A N 5 u j d 7 Q 6 8 T h c K A v q P Z p C t 7 U D q O t E Q 7 8 U F v D U c m J x t e 3 g R e X 9 H 7 Q i c a j o K R 3 R 8 H 9 O B h 4 D y U n D v v 7 9 p C p 5 o W 5 x / x W J 4 Q W U E 6 h Z K n / I A X 5 x 9 r V q 5 W M n X 6 Q 9 h d Q S w E C L Q A U A A I A C A B H V 3 1 V M D f H m a U A A A D 1 A A A A E g A A A A A A A A A A A A A A A A A A A A A A Q 2 9 u Z m l n L 1 B h Y 2 t h Z 2 U u e G 1 s U E s B A i 0 A F A A C A A g A R 1 d 9 V Q / K 6 a u k A A A A 6 Q A A A B M A A A A A A A A A A A A A A A A A 8 Q A A A F t D b 2 5 0 Z W 5 0 X 1 R 5 c G V z X S 5 4 b W x Q S w E C L Q A U A A I A C A B H V 3 1 V i 2 A 1 Y G 0 B A A B l A g A A E w A A A A A A A A A A A A A A A A D i A Q A A R m 9 y b X V s Y X M v U 2 V j d G l v b j E u b V B L B Q Y A A A A A A w A D A M I A A A C c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j D Q A A A A A A A E E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E U F 9 M S V Z F X z I 5 M T E y M D I y M T A 1 O D I x M T k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E t M j l U M D k 6 N T c 6 M z I u M z M 3 O T c w N l o i I C 8 + P E V u d H J 5 I F R 5 c G U 9 I k Z p b G x D b 2 x 1 b W 5 U e X B l c y I g V m F s d W U 9 I n N C Z 1 l H Q m d Z R E J n W T 0 i I C 8 + P E V u d H J 5 I F R 5 c G U 9 I k Z p b G x D b 2 x 1 b W 5 O Y W 1 l c y I g V m F s d W U 9 I n N b J n F 1 b 3 Q 7 T E 9 D Q V R J T 0 4 m c X V v d D s s J n F 1 b 3 Q 7 S U 5 E S U N B V E 9 S J n F 1 b 3 Q 7 L C Z x d W 9 0 O 1 N V Q k p F Q 1 Q m c X V v d D s s J n F 1 b 3 Q 7 T U V B U 1 V S R S Z x d W 9 0 O y w m c X V v d D t G U k V R V U V O Q 1 k m c X V v d D s s J n F 1 b 3 Q 7 V E l N R S Z x d W 9 0 O y w m c X V v d D t W Y W x 1 Z S Z x d W 9 0 O y w m c X V v d D t G b G F n I E N v Z G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F B f T E l W R V 8 y O T E x M j A y M j E w N T g y M T E 5 O C 9 U e X B l I G 1 v Z G l m a c O p L n t M T 0 N B V E l P T i w w f S Z x d W 9 0 O y w m c X V v d D t T Z W N 0 a W 9 u M S 9 E U F 9 M S V Z F X z I 5 M T E y M D I y M T A 1 O D I x M T k 4 L 1 R 5 c G U g b W 9 k a W Z p w 6 k u e 0 l O R E l D Q V R P U i w x f S Z x d W 9 0 O y w m c X V v d D t T Z W N 0 a W 9 u M S 9 E U F 9 M S V Z F X z I 5 M T E y M D I y M T A 1 O D I x M T k 4 L 1 R 5 c G U g b W 9 k a W Z p w 6 k u e 1 N V Q k p F Q 1 Q s M n 0 m c X V v d D s s J n F 1 b 3 Q 7 U 2 V j d G l v b j E v R F B f T E l W R V 8 y O T E x M j A y M j E w N T g y M T E 5 O C 9 U e X B l I G 1 v Z G l m a c O p L n t N R U F T V V J F L D N 9 J n F 1 b 3 Q 7 L C Z x d W 9 0 O 1 N l Y 3 R p b 2 4 x L 0 R Q X 0 x J V k V f M j k x M T I w M j I x M D U 4 M j E x O T g v V H l w Z S B t b 2 R p Z m n D q S 5 7 R l J F U V V F T k N Z L D R 9 J n F 1 b 3 Q 7 L C Z x d W 9 0 O 1 N l Y 3 R p b 2 4 x L 0 R Q X 0 x J V k V f M j k x M T I w M j I x M D U 4 M j E x O T g v V H l w Z S B t b 2 R p Z m n D q S 5 7 V E l N R S w 1 f S Z x d W 9 0 O y w m c X V v d D t T Z W N 0 a W 9 u M S 9 E U F 9 M S V Z F X z I 5 M T E y M D I y M T A 1 O D I x M T k 4 L 1 R 5 c G U g b W 9 k a W Z p w 6 k u e 1 Z h b H V l L D Z 9 J n F 1 b 3 Q 7 L C Z x d W 9 0 O 1 N l Y 3 R p b 2 4 x L 0 R Q X 0 x J V k V f M j k x M T I w M j I x M D U 4 M j E x O T g v V H l w Z S B t b 2 R p Z m n D q S 5 7 R m x h Z y B D b 2 R l c y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E U F 9 M S V Z F X z I 5 M T E y M D I y M T A 1 O D I x M T k 4 L 1 R 5 c G U g b W 9 k a W Z p w 6 k u e 0 x P Q 0 F U S U 9 O L D B 9 J n F 1 b 3 Q 7 L C Z x d W 9 0 O 1 N l Y 3 R p b 2 4 x L 0 R Q X 0 x J V k V f M j k x M T I w M j I x M D U 4 M j E x O T g v V H l w Z S B t b 2 R p Z m n D q S 5 7 S U 5 E S U N B V E 9 S L D F 9 J n F 1 b 3 Q 7 L C Z x d W 9 0 O 1 N l Y 3 R p b 2 4 x L 0 R Q X 0 x J V k V f M j k x M T I w M j I x M D U 4 M j E x O T g v V H l w Z S B t b 2 R p Z m n D q S 5 7 U 1 V C S k V D V C w y f S Z x d W 9 0 O y w m c X V v d D t T Z W N 0 a W 9 u M S 9 E U F 9 M S V Z F X z I 5 M T E y M D I y M T A 1 O D I x M T k 4 L 1 R 5 c G U g b W 9 k a W Z p w 6 k u e 0 1 F Q V N V U k U s M 3 0 m c X V v d D s s J n F 1 b 3 Q 7 U 2 V j d G l v b j E v R F B f T E l W R V 8 y O T E x M j A y M j E w N T g y M T E 5 O C 9 U e X B l I G 1 v Z G l m a c O p L n t G U k V R V U V O Q 1 k s N H 0 m c X V v d D s s J n F 1 b 3 Q 7 U 2 V j d G l v b j E v R F B f T E l W R V 8 y O T E x M j A y M j E w N T g y M T E 5 O C 9 U e X B l I G 1 v Z G l m a c O p L n t U S U 1 F L D V 9 J n F 1 b 3 Q 7 L C Z x d W 9 0 O 1 N l Y 3 R p b 2 4 x L 0 R Q X 0 x J V k V f M j k x M T I w M j I x M D U 4 M j E x O T g v V H l w Z S B t b 2 R p Z m n D q S 5 7 V m F s d W U s N n 0 m c X V v d D s s J n F 1 b 3 Q 7 U 2 V j d G l v b j E v R F B f T E l W R V 8 y O T E x M j A y M j E w N T g y M T E 5 O C 9 U e X B l I G 1 v Z G l m a c O p L n t G b G F n I E N v Z G V z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U F 9 M S V Z F X z I 5 M T E y M D I y M T A 1 O D I x M T k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Q X 0 x J V k V f M j k x M T I w M j I x M D U 4 M j E x O T g v R W 4 t d C V D M y V B Q X R l c y U y M H B y b 2 1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Q X 0 x J V k V f M j k x M T I w M j I x M D U 4 M j E x O T g v V H l w Z S U y M G 1 v Z G l m a S V D M y V B O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v m v w P U n N 0 Q 6 3 c B X B U n l 9 v A A A A A A I A A A A A A A N m A A D A A A A A E A A A A M j / 2 C R N 4 0 e G A R Y e U r g 2 X B s A A A A A B I A A A K A A A A A Q A A A A C h S I 8 D q e l 1 a u k h f G I 5 2 8 y 1 A A A A A 8 e Y 5 C / v z d G y 4 7 F + N L 9 O 3 l 3 E t q e D m D P B 3 F B 8 O B S I H B a C 2 u n K t r b p h 5 C s Q q B V f 1 P B 4 J h / j v J p k e K b s M S A 9 f O v c H l C D M d P H O t z p G L X d o i u s X P B Q A A A C / n D f n X V P x u U c T 9 I E m E q G 5 1 p o D e w = = < / D a t a M a s h u p > 
</file>

<file path=customXml/itemProps1.xml><?xml version="1.0" encoding="utf-8"?>
<ds:datastoreItem xmlns:ds="http://schemas.openxmlformats.org/officeDocument/2006/customXml" ds:itemID="{13573237-9A39-42F2-81DF-08E806085AD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phaseDesc</vt:lpstr>
      <vt:lpstr>choixModele</vt:lpstr>
      <vt:lpstr>modeleLineaire</vt:lpstr>
      <vt:lpstr>indiceCalcul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JOSSEC LUKAS</dc:creator>
  <cp:lastModifiedBy>LE JOSSEC LUKAS</cp:lastModifiedBy>
  <dcterms:created xsi:type="dcterms:W3CDTF">2022-11-29T09:56:54Z</dcterms:created>
  <dcterms:modified xsi:type="dcterms:W3CDTF">2022-12-02T15:33:09Z</dcterms:modified>
</cp:coreProperties>
</file>